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ner" sheetId="1" r:id="rId1"/>
    <sheet name="Holidays" sheetId="2" r:id="rId2"/>
  </sheets>
  <definedNames>
    <definedName name="CalYear">Planner!$B$2</definedName>
    <definedName name="_xlnm.Print_Area" localSheetId="1">Holidays!$A$1:$D$60</definedName>
    <definedName name="_xlnm.Print_Area" localSheetId="0">Planner!$A$1:$AB$37</definedName>
  </definedNames>
  <calcPr calcId="124519" fullCalcOnLoad="1"/>
</workbook>
</file>

<file path=xl/sharedStrings.xml><?xml version="1.0" encoding="utf-8"?>
<sst xmlns="http://schemas.openxmlformats.org/spreadsheetml/2006/main" count="69" uniqueCount="50">
  <si>
    <t>Yearly planner</t>
  </si>
  <si>
    <t>■ Holiday   ■ Other dates   ■ Weekend</t>
  </si>
  <si>
    <t>Holiday names fill in automatically – type over any cell. Edit dates on the Holidays tab.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</si>
  <si>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</si>
  <si>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</si>
  <si>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</si>
  <si>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</si>
  <si>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</si>
  <si>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</si>
  <si>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</si>
  <si>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</si>
  <si>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</si>
  <si>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</si>
  <si>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</si>
  <si>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</si>
  <si>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niftyshelf.com</t>
  </si>
  <si>
    <t>Holidays &amp; key dates</t>
  </si>
  <si>
    <t>NAME</t>
  </si>
  <si>
    <t>DATE</t>
  </si>
  <si>
    <t>TYPE</t>
  </si>
  <si>
    <t>New Year's Day</t>
  </si>
  <si>
    <t>Holiday</t>
  </si>
  <si>
    <t>Martin Luther King Jr. Day</t>
  </si>
  <si>
    <t>Presidents' Day</t>
  </si>
  <si>
    <t>Memorial Day</t>
  </si>
  <si>
    <t>Juneteenth</t>
  </si>
  <si>
    <t>Independence Day</t>
  </si>
  <si>
    <t>Labor Day</t>
  </si>
  <si>
    <t>Columbus Day</t>
  </si>
  <si>
    <t>Veterans Day</t>
  </si>
  <si>
    <t>Thanksgiving Day</t>
  </si>
  <si>
    <t>Christmas Day</t>
  </si>
  <si>
    <t>Valentine's Day</t>
  </si>
  <si>
    <t>Observance</t>
  </si>
  <si>
    <t>Daylight Saving begins</t>
  </si>
  <si>
    <t>St. Patrick's Day</t>
  </si>
  <si>
    <t>Easter Sunday</t>
  </si>
  <si>
    <t>Mother's Day</t>
  </si>
  <si>
    <t>Father's Day</t>
  </si>
  <si>
    <t>Halloween</t>
  </si>
  <si>
    <t>Daylight Saving ends</t>
  </si>
  <si>
    <t>Christmas Eve</t>
  </si>
  <si>
    <t>New Year's Eve</t>
  </si>
  <si>
    <t>How it works</t>
  </si>
  <si>
    <t>• Type = Holiday → shaded in the accent color on every calendar.</t>
  </si>
  <si>
    <t>• Any other type (Observance, Personal, Work, School…) → shown in the softer color.</t>
  </si>
  <si>
    <t>• Rows ending in (obs.) – the observed day off – appear only when a holiday falls on a weekend.</t>
  </si>
  <si>
    <t>• Add birthdays, paydays or school breaks in the empty rows – they show up</t>
  </si>
  <si>
    <t xml:space="preserve">   on the month tabs automatically. Delete any row you don't need.</t>
  </si>
  <si>
    <t>• Change the year or week start on the Year tab.</t>
  </si>
</sst>
</file>

<file path=xl/styles.xml><?xml version="1.0" encoding="utf-8"?>
<styleSheet xmlns="http://schemas.openxmlformats.org/spreadsheetml/2006/main">
  <numFmts count="1">
    <numFmt numFmtId="164" formatCode="ddd, mmm d"/>
  </numFmts>
  <fonts count="15">
    <font>
      <sz val="11"/>
      <color theme="1"/>
      <name val="Calibri"/>
      <family val="2"/>
      <scheme val="minor"/>
    </font>
    <font>
      <i/>
      <sz val="32"/>
      <color rgb="FF4A4340"/>
      <name val="Georgia"/>
      <family val="2"/>
    </font>
    <font>
      <i/>
      <sz val="16"/>
      <color rgb="FF9C918A"/>
      <name val="Georgia"/>
      <family val="2"/>
    </font>
    <font>
      <sz val="8"/>
      <color rgb="FF9C918A"/>
      <name val="Trebuchet MS"/>
      <family val="2"/>
    </font>
    <font>
      <sz val="8"/>
      <color rgb="FFD8CEC6"/>
      <name val="Trebuchet MS"/>
      <family val="2"/>
    </font>
    <font>
      <b/>
      <sz val="7"/>
      <color rgb="FF4A4340"/>
      <name val="Trebuchet MS"/>
      <family val="2"/>
    </font>
    <font>
      <i/>
      <sz val="11"/>
      <color rgb="FF4A4340"/>
      <name val="Georgia"/>
      <family val="2"/>
    </font>
    <font>
      <b/>
      <sz val="8"/>
      <color rgb="FF9C918A"/>
      <name val="Trebuchet MS"/>
      <family val="2"/>
    </font>
    <font>
      <sz val="8"/>
      <color rgb="FF4A4340"/>
      <name val="Trebuchet MS"/>
      <family val="2"/>
    </font>
    <font>
      <sz val="7"/>
      <color rgb="FFD8CEC6"/>
      <name val="Trebuchet MS"/>
      <family val="2"/>
    </font>
    <font>
      <i/>
      <sz val="22"/>
      <color rgb="FF4A4340"/>
      <name val="Georgia"/>
      <family val="2"/>
    </font>
    <font>
      <sz val="9"/>
      <color rgb="FF9C918A"/>
      <name val="Trebuchet MS"/>
      <family val="2"/>
    </font>
    <font>
      <b/>
      <sz val="9"/>
      <color rgb="FF4A4340"/>
      <name val="Trebuchet MS"/>
      <family val="2"/>
    </font>
    <font>
      <sz val="10"/>
      <color rgb="FF4A4340"/>
      <name val="Trebuchet MS"/>
      <family val="2"/>
    </font>
    <font>
      <sz val="9"/>
      <color rgb="FF9C918A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DCE7D6"/>
        <bgColor indexed="64"/>
      </patternFill>
    </fill>
    <fill>
      <patternFill patternType="solid">
        <fgColor rgb="FFF6DDD8"/>
        <bgColor indexed="64"/>
      </patternFill>
    </fill>
    <fill>
      <patternFill patternType="solid">
        <fgColor rgb="FFF7EBC4"/>
        <bgColor indexed="64"/>
      </patternFill>
    </fill>
    <fill>
      <patternFill patternType="solid">
        <fgColor rgb="FFD8E3EE"/>
        <bgColor indexed="64"/>
      </patternFill>
    </fill>
    <fill>
      <patternFill patternType="solid">
        <fgColor rgb="FFE6DDEE"/>
        <bgColor indexed="64"/>
      </patternFill>
    </fill>
    <fill>
      <patternFill patternType="solid">
        <fgColor rgb="FFF7E0CC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EFE6DC"/>
      </bottom>
      <diagonal/>
    </border>
    <border>
      <left style="thin">
        <color rgb="FFE3D6C9"/>
      </left>
      <right/>
      <top/>
      <bottom style="thin">
        <color rgb="FFEFE6DC"/>
      </bottom>
      <diagonal/>
    </border>
    <border>
      <left/>
      <right style="thin">
        <color rgb="FFE3D6C9"/>
      </right>
      <top/>
      <bottom style="thin">
        <color rgb="FFEFE6DC"/>
      </bottom>
      <diagonal/>
    </border>
    <border>
      <left/>
      <right/>
      <top/>
      <bottom style="thin">
        <color rgb="FFE3D6C9"/>
      </bottom>
      <diagonal/>
    </border>
    <border>
      <left style="thin">
        <color rgb="FFE3D6C9"/>
      </left>
      <right/>
      <top/>
      <bottom style="thin">
        <color rgb="FFE3D6C9"/>
      </bottom>
      <diagonal/>
    </border>
    <border>
      <left/>
      <right style="thin">
        <color rgb="FFE3D6C9"/>
      </right>
      <top/>
      <bottom style="thin">
        <color rgb="FFE3D6C9"/>
      </bottom>
      <diagonal/>
    </border>
    <border>
      <left/>
      <right/>
      <top/>
      <bottom style="thin">
        <color rgb="FF4A4340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vertical="center" shrinkToFit="1"/>
    </xf>
    <xf numFmtId="0" fontId="8" fillId="0" borderId="4" xfId="0" applyFont="1" applyBorder="1" applyAlignment="1">
      <alignment vertical="center" shrinkToFit="1"/>
    </xf>
    <xf numFmtId="0" fontId="7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9" fillId="0" borderId="0" xfId="0" applyFont="1" applyAlignment="1">
      <alignment horizontal="right" vertical="center"/>
    </xf>
    <xf numFmtId="0" fontId="10" fillId="0" borderId="0" xfId="0" applyFont="1" applyAlignment="1"/>
    <xf numFmtId="0" fontId="11" fillId="0" borderId="0" xfId="0" applyFont="1" applyAlignment="1">
      <alignment vertical="center"/>
    </xf>
    <xf numFmtId="0" fontId="7" fillId="0" borderId="8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164" fontId="13" fillId="0" borderId="2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14" fillId="0" borderId="0" xfId="0" applyFont="1" applyAlignment="1">
      <alignment vertical="center"/>
    </xf>
  </cellXfs>
  <cellStyles count="1">
    <cellStyle name="Normal" xfId="0" builtinId="0"/>
  </cellStyles>
  <dxfs count="5">
    <dxf>
      <fill>
        <patternFill>
          <bgColor rgb="FFEFE6DC"/>
        </patternFill>
      </fill>
    </dxf>
    <dxf>
      <font>
        <color rgb="FFFFFFFF"/>
      </font>
      <fill>
        <patternFill>
          <bgColor rgb="FFC98479"/>
        </patternFill>
      </fill>
    </dxf>
    <dxf>
      <font>
        <b/>
        <color rgb="FFC98479"/>
      </font>
      <fill>
        <patternFill>
          <bgColor rgb="FFF8E3DF"/>
        </patternFill>
      </fill>
    </dxf>
    <dxf>
      <font>
        <b/>
        <color rgb="FF6F8F7A"/>
      </font>
    </dxf>
    <dxf>
      <fill>
        <patternFill>
          <bgColor rgb="FFFBF5E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37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/>
  <cols>
    <col min="1" max="1" width="1.7109375" customWidth="1"/>
    <col min="2" max="2" width="4.28515625" customWidth="1"/>
    <col min="3" max="3" width="3.85546875" customWidth="1"/>
    <col min="4" max="4" width="10.85546875" customWidth="1"/>
    <col min="5" max="5" width="3.85546875" customWidth="1"/>
    <col min="6" max="6" width="10.85546875" customWidth="1"/>
    <col min="7" max="7" width="3.85546875" customWidth="1"/>
    <col min="8" max="8" width="10.85546875" customWidth="1"/>
    <col min="9" max="9" width="3.85546875" customWidth="1"/>
    <col min="10" max="10" width="10.85546875" customWidth="1"/>
    <col min="11" max="11" width="3.85546875" customWidth="1"/>
    <col min="12" max="12" width="10.85546875" customWidth="1"/>
    <col min="13" max="13" width="3.85546875" customWidth="1"/>
    <col min="14" max="14" width="10.85546875" customWidth="1"/>
    <col min="15" max="15" width="3.85546875" customWidth="1"/>
    <col min="16" max="16" width="10.85546875" customWidth="1"/>
    <col min="17" max="17" width="3.85546875" customWidth="1"/>
    <col min="18" max="18" width="10.85546875" customWidth="1"/>
    <col min="19" max="19" width="3.85546875" customWidth="1"/>
    <col min="20" max="20" width="10.85546875" customWidth="1"/>
    <col min="21" max="21" width="3.85546875" customWidth="1"/>
    <col min="22" max="22" width="10.85546875" customWidth="1"/>
    <col min="23" max="23" width="3.85546875" customWidth="1"/>
    <col min="24" max="24" width="10.85546875" customWidth="1"/>
    <col min="25" max="25" width="3.85546875" customWidth="1"/>
    <col min="26" max="26" width="10.85546875" customWidth="1"/>
    <col min="27" max="27" width="4.28515625" customWidth="1"/>
    <col min="28" max="28" width="1.7109375" customWidth="1"/>
  </cols>
  <sheetData>
    <row r="1" spans="2:27" ht="6" customHeight="1"/>
    <row r="2" spans="2:27" ht="40" customHeight="1">
      <c r="B2" s="1">
        <v>2027</v>
      </c>
      <c r="C2" s="1"/>
      <c r="D2" s="1"/>
      <c r="E2" s="1"/>
      <c r="F2" s="1"/>
      <c r="G2" s="2" t="s">
        <v>0</v>
      </c>
      <c r="H2" s="2"/>
      <c r="I2" s="2"/>
      <c r="J2" s="2"/>
      <c r="K2" s="2"/>
      <c r="L2" s="2"/>
      <c r="M2" s="2"/>
      <c r="N2" s="2"/>
      <c r="S2" s="3" t="s">
        <v>1</v>
      </c>
      <c r="T2" s="3"/>
      <c r="U2" s="3"/>
      <c r="V2" s="3"/>
      <c r="W2" s="3"/>
      <c r="X2" s="3"/>
      <c r="Y2" s="3"/>
      <c r="Z2" s="3"/>
    </row>
    <row r="3" spans="2:27" ht="16" customHeight="1"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2:27" ht="8" customHeight="1"/>
    <row r="5" spans="2:27" ht="20" customHeight="1">
      <c r="B5" s="5"/>
      <c r="C5" s="6" t="s">
        <v>3</v>
      </c>
      <c r="D5" s="6"/>
      <c r="E5" s="7" t="s">
        <v>4</v>
      </c>
      <c r="F5" s="7"/>
      <c r="G5" s="8" t="s">
        <v>5</v>
      </c>
      <c r="H5" s="8"/>
      <c r="I5" s="9" t="s">
        <v>6</v>
      </c>
      <c r="J5" s="9"/>
      <c r="K5" s="10" t="s">
        <v>7</v>
      </c>
      <c r="L5" s="10"/>
      <c r="M5" s="11" t="s">
        <v>8</v>
      </c>
      <c r="N5" s="11"/>
      <c r="O5" s="6" t="s">
        <v>9</v>
      </c>
      <c r="P5" s="6"/>
      <c r="Q5" s="7" t="s">
        <v>10</v>
      </c>
      <c r="R5" s="7"/>
      <c r="S5" s="8" t="s">
        <v>11</v>
      </c>
      <c r="T5" s="8"/>
      <c r="U5" s="9" t="s">
        <v>12</v>
      </c>
      <c r="V5" s="9"/>
      <c r="W5" s="10" t="s">
        <v>13</v>
      </c>
      <c r="X5" s="10"/>
      <c r="Y5" s="11" t="s">
        <v>14</v>
      </c>
      <c r="Z5" s="11"/>
      <c r="AA5" s="5"/>
    </row>
    <row r="6" spans="2:27" ht="22" customHeight="1">
      <c r="B6" s="12">
        <v>1</v>
      </c>
      <c r="C6" s="13">
        <f>IF(MONTH(DATE(CalYear,1,1))=1,CHOOSE(WEEKDAY(DATE(CalYear,1,1)),"Su","Mo","Tu","We","Th","Fr","Sa"),"")</f>
        <v>0</v>
      </c>
      <c r="D6" s="14">
        <f>IF(MONTH(DATE(CalYear,1,1))=1,IFERROR(INDEX(Holidays!$B$6:$B$60,MATCH(DATE(CalYear,1,1),Holidays!$C$6:$C$60,0)),""),"")</f>
        <v>0</v>
      </c>
      <c r="E6" s="13">
        <f>IF(MONTH(DATE(CalYear,2,1))=2,CHOOSE(WEEKDAY(DATE(CalYear,2,1)),"Su","Mo","Tu","We","Th","Fr","Sa"),"")</f>
        <v>0</v>
      </c>
      <c r="F6" s="14">
        <f>IF(MONTH(DATE(CalYear,2,1))=2,IFERROR(INDEX(Holidays!$B$6:$B$60,MATCH(DATE(CalYear,2,1),Holidays!$C$6:$C$60,0)),""),"")</f>
        <v>0</v>
      </c>
      <c r="G6" s="13">
        <f>IF(MONTH(DATE(CalYear,3,1))=3,CHOOSE(WEEKDAY(DATE(CalYear,3,1)),"Su","Mo","Tu","We","Th","Fr","Sa"),"")</f>
        <v>0</v>
      </c>
      <c r="H6" s="14">
        <f>IF(MONTH(DATE(CalYear,3,1))=3,IFERROR(INDEX(Holidays!$B$6:$B$60,MATCH(DATE(CalYear,3,1),Holidays!$C$6:$C$60,0)),""),"")</f>
        <v>0</v>
      </c>
      <c r="I6" s="13">
        <f>IF(MONTH(DATE(CalYear,4,1))=4,CHOOSE(WEEKDAY(DATE(CalYear,4,1)),"Su","Mo","Tu","We","Th","Fr","Sa"),"")</f>
        <v>0</v>
      </c>
      <c r="J6" s="14">
        <f>IF(MONTH(DATE(CalYear,4,1))=4,IFERROR(INDEX(Holidays!$B$6:$B$60,MATCH(DATE(CalYear,4,1),Holidays!$C$6:$C$60,0)),""),"")</f>
        <v>0</v>
      </c>
      <c r="K6" s="13">
        <f>IF(MONTH(DATE(CalYear,5,1))=5,CHOOSE(WEEKDAY(DATE(CalYear,5,1)),"Su","Mo","Tu","We","Th","Fr","Sa"),"")</f>
        <v>0</v>
      </c>
      <c r="L6" s="14">
        <f>IF(MONTH(DATE(CalYear,5,1))=5,IFERROR(INDEX(Holidays!$B$6:$B$60,MATCH(DATE(CalYear,5,1),Holidays!$C$6:$C$60,0)),""),"")</f>
        <v>0</v>
      </c>
      <c r="M6" s="13">
        <f>IF(MONTH(DATE(CalYear,6,1))=6,CHOOSE(WEEKDAY(DATE(CalYear,6,1)),"Su","Mo","Tu","We","Th","Fr","Sa"),"")</f>
        <v>0</v>
      </c>
      <c r="N6" s="14">
        <f>IF(MONTH(DATE(CalYear,6,1))=6,IFERROR(INDEX(Holidays!$B$6:$B$60,MATCH(DATE(CalYear,6,1),Holidays!$C$6:$C$60,0)),""),"")</f>
        <v>0</v>
      </c>
      <c r="O6" s="13">
        <f>IF(MONTH(DATE(CalYear,7,1))=7,CHOOSE(WEEKDAY(DATE(CalYear,7,1)),"Su","Mo","Tu","We","Th","Fr","Sa"),"")</f>
        <v>0</v>
      </c>
      <c r="P6" s="14">
        <f>IF(MONTH(DATE(CalYear,7,1))=7,IFERROR(INDEX(Holidays!$B$6:$B$60,MATCH(DATE(CalYear,7,1),Holidays!$C$6:$C$60,0)),""),"")</f>
        <v>0</v>
      </c>
      <c r="Q6" s="13">
        <f>IF(MONTH(DATE(CalYear,8,1))=8,CHOOSE(WEEKDAY(DATE(CalYear,8,1)),"Su","Mo","Tu","We","Th","Fr","Sa"),"")</f>
        <v>0</v>
      </c>
      <c r="R6" s="14">
        <f>IF(MONTH(DATE(CalYear,8,1))=8,IFERROR(INDEX(Holidays!$B$6:$B$60,MATCH(DATE(CalYear,8,1),Holidays!$C$6:$C$60,0)),""),"")</f>
        <v>0</v>
      </c>
      <c r="S6" s="13">
        <f>IF(MONTH(DATE(CalYear,9,1))=9,CHOOSE(WEEKDAY(DATE(CalYear,9,1)),"Su","Mo","Tu","We","Th","Fr","Sa"),"")</f>
        <v>0</v>
      </c>
      <c r="T6" s="14">
        <f>IF(MONTH(DATE(CalYear,9,1))=9,IFERROR(INDEX(Holidays!$B$6:$B$60,MATCH(DATE(CalYear,9,1),Holidays!$C$6:$C$60,0)),""),"")</f>
        <v>0</v>
      </c>
      <c r="U6" s="13">
        <f>IF(MONTH(DATE(CalYear,10,1))=10,CHOOSE(WEEKDAY(DATE(CalYear,10,1)),"Su","Mo","Tu","We","Th","Fr","Sa"),"")</f>
        <v>0</v>
      </c>
      <c r="V6" s="14">
        <f>IF(MONTH(DATE(CalYear,10,1))=10,IFERROR(INDEX(Holidays!$B$6:$B$60,MATCH(DATE(CalYear,10,1),Holidays!$C$6:$C$60,0)),""),"")</f>
        <v>0</v>
      </c>
      <c r="W6" s="13">
        <f>IF(MONTH(DATE(CalYear,11,1))=11,CHOOSE(WEEKDAY(DATE(CalYear,11,1)),"Su","Mo","Tu","We","Th","Fr","Sa"),"")</f>
        <v>0</v>
      </c>
      <c r="X6" s="14">
        <f>IF(MONTH(DATE(CalYear,11,1))=11,IFERROR(INDEX(Holidays!$B$6:$B$60,MATCH(DATE(CalYear,11,1),Holidays!$C$6:$C$60,0)),""),"")</f>
        <v>0</v>
      </c>
      <c r="Y6" s="13">
        <f>IF(MONTH(DATE(CalYear,12,1))=12,CHOOSE(WEEKDAY(DATE(CalYear,12,1)),"Su","Mo","Tu","We","Th","Fr","Sa"),"")</f>
        <v>0</v>
      </c>
      <c r="Z6" s="15">
        <f>IF(MONTH(DATE(CalYear,12,1))=12,IFERROR(INDEX(Holidays!$B$6:$B$60,MATCH(DATE(CalYear,12,1),Holidays!$C$6:$C$60,0)),""),"")</f>
        <v>0</v>
      </c>
      <c r="AA6" s="12">
        <v>1</v>
      </c>
    </row>
    <row r="7" spans="2:27" ht="22" customHeight="1">
      <c r="B7" s="12">
        <v>2</v>
      </c>
      <c r="C7" s="13">
        <f>IF(MONTH(DATE(CalYear,1,2))=1,CHOOSE(WEEKDAY(DATE(CalYear,1,2)),"Su","Mo","Tu","We","Th","Fr","Sa"),"")</f>
        <v>0</v>
      </c>
      <c r="D7" s="14">
        <f>IF(MONTH(DATE(CalYear,1,2))=1,IFERROR(INDEX(Holidays!$B$6:$B$60,MATCH(DATE(CalYear,1,2),Holidays!$C$6:$C$60,0)),""),"")</f>
        <v>0</v>
      </c>
      <c r="E7" s="13">
        <f>IF(MONTH(DATE(CalYear,2,2))=2,CHOOSE(WEEKDAY(DATE(CalYear,2,2)),"Su","Mo","Tu","We","Th","Fr","Sa"),"")</f>
        <v>0</v>
      </c>
      <c r="F7" s="14">
        <f>IF(MONTH(DATE(CalYear,2,2))=2,IFERROR(INDEX(Holidays!$B$6:$B$60,MATCH(DATE(CalYear,2,2),Holidays!$C$6:$C$60,0)),""),"")</f>
        <v>0</v>
      </c>
      <c r="G7" s="13">
        <f>IF(MONTH(DATE(CalYear,3,2))=3,CHOOSE(WEEKDAY(DATE(CalYear,3,2)),"Su","Mo","Tu","We","Th","Fr","Sa"),"")</f>
        <v>0</v>
      </c>
      <c r="H7" s="14">
        <f>IF(MONTH(DATE(CalYear,3,2))=3,IFERROR(INDEX(Holidays!$B$6:$B$60,MATCH(DATE(CalYear,3,2),Holidays!$C$6:$C$60,0)),""),"")</f>
        <v>0</v>
      </c>
      <c r="I7" s="13">
        <f>IF(MONTH(DATE(CalYear,4,2))=4,CHOOSE(WEEKDAY(DATE(CalYear,4,2)),"Su","Mo","Tu","We","Th","Fr","Sa"),"")</f>
        <v>0</v>
      </c>
      <c r="J7" s="14">
        <f>IF(MONTH(DATE(CalYear,4,2))=4,IFERROR(INDEX(Holidays!$B$6:$B$60,MATCH(DATE(CalYear,4,2),Holidays!$C$6:$C$60,0)),""),"")</f>
        <v>0</v>
      </c>
      <c r="K7" s="13">
        <f>IF(MONTH(DATE(CalYear,5,2))=5,CHOOSE(WEEKDAY(DATE(CalYear,5,2)),"Su","Mo","Tu","We","Th","Fr","Sa"),"")</f>
        <v>0</v>
      </c>
      <c r="L7" s="14">
        <f>IF(MONTH(DATE(CalYear,5,2))=5,IFERROR(INDEX(Holidays!$B$6:$B$60,MATCH(DATE(CalYear,5,2),Holidays!$C$6:$C$60,0)),""),"")</f>
        <v>0</v>
      </c>
      <c r="M7" s="13">
        <f>IF(MONTH(DATE(CalYear,6,2))=6,CHOOSE(WEEKDAY(DATE(CalYear,6,2)),"Su","Mo","Tu","We","Th","Fr","Sa"),"")</f>
        <v>0</v>
      </c>
      <c r="N7" s="14">
        <f>IF(MONTH(DATE(CalYear,6,2))=6,IFERROR(INDEX(Holidays!$B$6:$B$60,MATCH(DATE(CalYear,6,2),Holidays!$C$6:$C$60,0)),""),"")</f>
        <v>0</v>
      </c>
      <c r="O7" s="13">
        <f>IF(MONTH(DATE(CalYear,7,2))=7,CHOOSE(WEEKDAY(DATE(CalYear,7,2)),"Su","Mo","Tu","We","Th","Fr","Sa"),"")</f>
        <v>0</v>
      </c>
      <c r="P7" s="14">
        <f>IF(MONTH(DATE(CalYear,7,2))=7,IFERROR(INDEX(Holidays!$B$6:$B$60,MATCH(DATE(CalYear,7,2),Holidays!$C$6:$C$60,0)),""),"")</f>
        <v>0</v>
      </c>
      <c r="Q7" s="13">
        <f>IF(MONTH(DATE(CalYear,8,2))=8,CHOOSE(WEEKDAY(DATE(CalYear,8,2)),"Su","Mo","Tu","We","Th","Fr","Sa"),"")</f>
        <v>0</v>
      </c>
      <c r="R7" s="14">
        <f>IF(MONTH(DATE(CalYear,8,2))=8,IFERROR(INDEX(Holidays!$B$6:$B$60,MATCH(DATE(CalYear,8,2),Holidays!$C$6:$C$60,0)),""),"")</f>
        <v>0</v>
      </c>
      <c r="S7" s="13">
        <f>IF(MONTH(DATE(CalYear,9,2))=9,CHOOSE(WEEKDAY(DATE(CalYear,9,2)),"Su","Mo","Tu","We","Th","Fr","Sa"),"")</f>
        <v>0</v>
      </c>
      <c r="T7" s="14">
        <f>IF(MONTH(DATE(CalYear,9,2))=9,IFERROR(INDEX(Holidays!$B$6:$B$60,MATCH(DATE(CalYear,9,2),Holidays!$C$6:$C$60,0)),""),"")</f>
        <v>0</v>
      </c>
      <c r="U7" s="13">
        <f>IF(MONTH(DATE(CalYear,10,2))=10,CHOOSE(WEEKDAY(DATE(CalYear,10,2)),"Su","Mo","Tu","We","Th","Fr","Sa"),"")</f>
        <v>0</v>
      </c>
      <c r="V7" s="14">
        <f>IF(MONTH(DATE(CalYear,10,2))=10,IFERROR(INDEX(Holidays!$B$6:$B$60,MATCH(DATE(CalYear,10,2),Holidays!$C$6:$C$60,0)),""),"")</f>
        <v>0</v>
      </c>
      <c r="W7" s="13">
        <f>IF(MONTH(DATE(CalYear,11,2))=11,CHOOSE(WEEKDAY(DATE(CalYear,11,2)),"Su","Mo","Tu","We","Th","Fr","Sa"),"")</f>
        <v>0</v>
      </c>
      <c r="X7" s="14">
        <f>IF(MONTH(DATE(CalYear,11,2))=11,IFERROR(INDEX(Holidays!$B$6:$B$60,MATCH(DATE(CalYear,11,2),Holidays!$C$6:$C$60,0)),""),"")</f>
        <v>0</v>
      </c>
      <c r="Y7" s="13">
        <f>IF(MONTH(DATE(CalYear,12,2))=12,CHOOSE(WEEKDAY(DATE(CalYear,12,2)),"Su","Mo","Tu","We","Th","Fr","Sa"),"")</f>
        <v>0</v>
      </c>
      <c r="Z7" s="15">
        <f>IF(MONTH(DATE(CalYear,12,2))=12,IFERROR(INDEX(Holidays!$B$6:$B$60,MATCH(DATE(CalYear,12,2),Holidays!$C$6:$C$60,0)),""),"")</f>
        <v>0</v>
      </c>
      <c r="AA7" s="12">
        <v>2</v>
      </c>
    </row>
    <row r="8" spans="2:27" ht="22" customHeight="1">
      <c r="B8" s="12">
        <v>3</v>
      </c>
      <c r="C8" s="13">
        <f>IF(MONTH(DATE(CalYear,1,3))=1,CHOOSE(WEEKDAY(DATE(CalYear,1,3)),"Su","Mo","Tu","We","Th","Fr","Sa"),"")</f>
        <v>0</v>
      </c>
      <c r="D8" s="14">
        <f>IF(MONTH(DATE(CalYear,1,3))=1,IFERROR(INDEX(Holidays!$B$6:$B$60,MATCH(DATE(CalYear,1,3),Holidays!$C$6:$C$60,0)),""),"")</f>
        <v>0</v>
      </c>
      <c r="E8" s="13">
        <f>IF(MONTH(DATE(CalYear,2,3))=2,CHOOSE(WEEKDAY(DATE(CalYear,2,3)),"Su","Mo","Tu","We","Th","Fr","Sa"),"")</f>
        <v>0</v>
      </c>
      <c r="F8" s="14">
        <f>IF(MONTH(DATE(CalYear,2,3))=2,IFERROR(INDEX(Holidays!$B$6:$B$60,MATCH(DATE(CalYear,2,3),Holidays!$C$6:$C$60,0)),""),"")</f>
        <v>0</v>
      </c>
      <c r="G8" s="13">
        <f>IF(MONTH(DATE(CalYear,3,3))=3,CHOOSE(WEEKDAY(DATE(CalYear,3,3)),"Su","Mo","Tu","We","Th","Fr","Sa"),"")</f>
        <v>0</v>
      </c>
      <c r="H8" s="14">
        <f>IF(MONTH(DATE(CalYear,3,3))=3,IFERROR(INDEX(Holidays!$B$6:$B$60,MATCH(DATE(CalYear,3,3),Holidays!$C$6:$C$60,0)),""),"")</f>
        <v>0</v>
      </c>
      <c r="I8" s="13">
        <f>IF(MONTH(DATE(CalYear,4,3))=4,CHOOSE(WEEKDAY(DATE(CalYear,4,3)),"Su","Mo","Tu","We","Th","Fr","Sa"),"")</f>
        <v>0</v>
      </c>
      <c r="J8" s="14">
        <f>IF(MONTH(DATE(CalYear,4,3))=4,IFERROR(INDEX(Holidays!$B$6:$B$60,MATCH(DATE(CalYear,4,3),Holidays!$C$6:$C$60,0)),""),"")</f>
        <v>0</v>
      </c>
      <c r="K8" s="13">
        <f>IF(MONTH(DATE(CalYear,5,3))=5,CHOOSE(WEEKDAY(DATE(CalYear,5,3)),"Su","Mo","Tu","We","Th","Fr","Sa"),"")</f>
        <v>0</v>
      </c>
      <c r="L8" s="14">
        <f>IF(MONTH(DATE(CalYear,5,3))=5,IFERROR(INDEX(Holidays!$B$6:$B$60,MATCH(DATE(CalYear,5,3),Holidays!$C$6:$C$60,0)),""),"")</f>
        <v>0</v>
      </c>
      <c r="M8" s="13">
        <f>IF(MONTH(DATE(CalYear,6,3))=6,CHOOSE(WEEKDAY(DATE(CalYear,6,3)),"Su","Mo","Tu","We","Th","Fr","Sa"),"")</f>
        <v>0</v>
      </c>
      <c r="N8" s="14">
        <f>IF(MONTH(DATE(CalYear,6,3))=6,IFERROR(INDEX(Holidays!$B$6:$B$60,MATCH(DATE(CalYear,6,3),Holidays!$C$6:$C$60,0)),""),"")</f>
        <v>0</v>
      </c>
      <c r="O8" s="13">
        <f>IF(MONTH(DATE(CalYear,7,3))=7,CHOOSE(WEEKDAY(DATE(CalYear,7,3)),"Su","Mo","Tu","We","Th","Fr","Sa"),"")</f>
        <v>0</v>
      </c>
      <c r="P8" s="14">
        <f>IF(MONTH(DATE(CalYear,7,3))=7,IFERROR(INDEX(Holidays!$B$6:$B$60,MATCH(DATE(CalYear,7,3),Holidays!$C$6:$C$60,0)),""),"")</f>
        <v>0</v>
      </c>
      <c r="Q8" s="13">
        <f>IF(MONTH(DATE(CalYear,8,3))=8,CHOOSE(WEEKDAY(DATE(CalYear,8,3)),"Su","Mo","Tu","We","Th","Fr","Sa"),"")</f>
        <v>0</v>
      </c>
      <c r="R8" s="14">
        <f>IF(MONTH(DATE(CalYear,8,3))=8,IFERROR(INDEX(Holidays!$B$6:$B$60,MATCH(DATE(CalYear,8,3),Holidays!$C$6:$C$60,0)),""),"")</f>
        <v>0</v>
      </c>
      <c r="S8" s="13">
        <f>IF(MONTH(DATE(CalYear,9,3))=9,CHOOSE(WEEKDAY(DATE(CalYear,9,3)),"Su","Mo","Tu","We","Th","Fr","Sa"),"")</f>
        <v>0</v>
      </c>
      <c r="T8" s="14">
        <f>IF(MONTH(DATE(CalYear,9,3))=9,IFERROR(INDEX(Holidays!$B$6:$B$60,MATCH(DATE(CalYear,9,3),Holidays!$C$6:$C$60,0)),""),"")</f>
        <v>0</v>
      </c>
      <c r="U8" s="13">
        <f>IF(MONTH(DATE(CalYear,10,3))=10,CHOOSE(WEEKDAY(DATE(CalYear,10,3)),"Su","Mo","Tu","We","Th","Fr","Sa"),"")</f>
        <v>0</v>
      </c>
      <c r="V8" s="14">
        <f>IF(MONTH(DATE(CalYear,10,3))=10,IFERROR(INDEX(Holidays!$B$6:$B$60,MATCH(DATE(CalYear,10,3),Holidays!$C$6:$C$60,0)),""),"")</f>
        <v>0</v>
      </c>
      <c r="W8" s="13">
        <f>IF(MONTH(DATE(CalYear,11,3))=11,CHOOSE(WEEKDAY(DATE(CalYear,11,3)),"Su","Mo","Tu","We","Th","Fr","Sa"),"")</f>
        <v>0</v>
      </c>
      <c r="X8" s="14">
        <f>IF(MONTH(DATE(CalYear,11,3))=11,IFERROR(INDEX(Holidays!$B$6:$B$60,MATCH(DATE(CalYear,11,3),Holidays!$C$6:$C$60,0)),""),"")</f>
        <v>0</v>
      </c>
      <c r="Y8" s="13">
        <f>IF(MONTH(DATE(CalYear,12,3))=12,CHOOSE(WEEKDAY(DATE(CalYear,12,3)),"Su","Mo","Tu","We","Th","Fr","Sa"),"")</f>
        <v>0</v>
      </c>
      <c r="Z8" s="15">
        <f>IF(MONTH(DATE(CalYear,12,3))=12,IFERROR(INDEX(Holidays!$B$6:$B$60,MATCH(DATE(CalYear,12,3),Holidays!$C$6:$C$60,0)),""),"")</f>
        <v>0</v>
      </c>
      <c r="AA8" s="12">
        <v>3</v>
      </c>
    </row>
    <row r="9" spans="2:27" ht="22" customHeight="1">
      <c r="B9" s="12">
        <v>4</v>
      </c>
      <c r="C9" s="13">
        <f>IF(MONTH(DATE(CalYear,1,4))=1,CHOOSE(WEEKDAY(DATE(CalYear,1,4)),"Su","Mo","Tu","We","Th","Fr","Sa"),"")</f>
        <v>0</v>
      </c>
      <c r="D9" s="14">
        <f>IF(MONTH(DATE(CalYear,1,4))=1,IFERROR(INDEX(Holidays!$B$6:$B$60,MATCH(DATE(CalYear,1,4),Holidays!$C$6:$C$60,0)),""),"")</f>
        <v>0</v>
      </c>
      <c r="E9" s="13">
        <f>IF(MONTH(DATE(CalYear,2,4))=2,CHOOSE(WEEKDAY(DATE(CalYear,2,4)),"Su","Mo","Tu","We","Th","Fr","Sa"),"")</f>
        <v>0</v>
      </c>
      <c r="F9" s="14">
        <f>IF(MONTH(DATE(CalYear,2,4))=2,IFERROR(INDEX(Holidays!$B$6:$B$60,MATCH(DATE(CalYear,2,4),Holidays!$C$6:$C$60,0)),""),"")</f>
        <v>0</v>
      </c>
      <c r="G9" s="13">
        <f>IF(MONTH(DATE(CalYear,3,4))=3,CHOOSE(WEEKDAY(DATE(CalYear,3,4)),"Su","Mo","Tu","We","Th","Fr","Sa"),"")</f>
        <v>0</v>
      </c>
      <c r="H9" s="14">
        <f>IF(MONTH(DATE(CalYear,3,4))=3,IFERROR(INDEX(Holidays!$B$6:$B$60,MATCH(DATE(CalYear,3,4),Holidays!$C$6:$C$60,0)),""),"")</f>
        <v>0</v>
      </c>
      <c r="I9" s="13">
        <f>IF(MONTH(DATE(CalYear,4,4))=4,CHOOSE(WEEKDAY(DATE(CalYear,4,4)),"Su","Mo","Tu","We","Th","Fr","Sa"),"")</f>
        <v>0</v>
      </c>
      <c r="J9" s="14">
        <f>IF(MONTH(DATE(CalYear,4,4))=4,IFERROR(INDEX(Holidays!$B$6:$B$60,MATCH(DATE(CalYear,4,4),Holidays!$C$6:$C$60,0)),""),"")</f>
        <v>0</v>
      </c>
      <c r="K9" s="13">
        <f>IF(MONTH(DATE(CalYear,5,4))=5,CHOOSE(WEEKDAY(DATE(CalYear,5,4)),"Su","Mo","Tu","We","Th","Fr","Sa"),"")</f>
        <v>0</v>
      </c>
      <c r="L9" s="14">
        <f>IF(MONTH(DATE(CalYear,5,4))=5,IFERROR(INDEX(Holidays!$B$6:$B$60,MATCH(DATE(CalYear,5,4),Holidays!$C$6:$C$60,0)),""),"")</f>
        <v>0</v>
      </c>
      <c r="M9" s="13">
        <f>IF(MONTH(DATE(CalYear,6,4))=6,CHOOSE(WEEKDAY(DATE(CalYear,6,4)),"Su","Mo","Tu","We","Th","Fr","Sa"),"")</f>
        <v>0</v>
      </c>
      <c r="N9" s="14">
        <f>IF(MONTH(DATE(CalYear,6,4))=6,IFERROR(INDEX(Holidays!$B$6:$B$60,MATCH(DATE(CalYear,6,4),Holidays!$C$6:$C$60,0)),""),"")</f>
        <v>0</v>
      </c>
      <c r="O9" s="13">
        <f>IF(MONTH(DATE(CalYear,7,4))=7,CHOOSE(WEEKDAY(DATE(CalYear,7,4)),"Su","Mo","Tu","We","Th","Fr","Sa"),"")</f>
        <v>0</v>
      </c>
      <c r="P9" s="14">
        <f>IF(MONTH(DATE(CalYear,7,4))=7,IFERROR(INDEX(Holidays!$B$6:$B$60,MATCH(DATE(CalYear,7,4),Holidays!$C$6:$C$60,0)),""),"")</f>
        <v>0</v>
      </c>
      <c r="Q9" s="13">
        <f>IF(MONTH(DATE(CalYear,8,4))=8,CHOOSE(WEEKDAY(DATE(CalYear,8,4)),"Su","Mo","Tu","We","Th","Fr","Sa"),"")</f>
        <v>0</v>
      </c>
      <c r="R9" s="14">
        <f>IF(MONTH(DATE(CalYear,8,4))=8,IFERROR(INDEX(Holidays!$B$6:$B$60,MATCH(DATE(CalYear,8,4),Holidays!$C$6:$C$60,0)),""),"")</f>
        <v>0</v>
      </c>
      <c r="S9" s="13">
        <f>IF(MONTH(DATE(CalYear,9,4))=9,CHOOSE(WEEKDAY(DATE(CalYear,9,4)),"Su","Mo","Tu","We","Th","Fr","Sa"),"")</f>
        <v>0</v>
      </c>
      <c r="T9" s="14">
        <f>IF(MONTH(DATE(CalYear,9,4))=9,IFERROR(INDEX(Holidays!$B$6:$B$60,MATCH(DATE(CalYear,9,4),Holidays!$C$6:$C$60,0)),""),"")</f>
        <v>0</v>
      </c>
      <c r="U9" s="13">
        <f>IF(MONTH(DATE(CalYear,10,4))=10,CHOOSE(WEEKDAY(DATE(CalYear,10,4)),"Su","Mo","Tu","We","Th","Fr","Sa"),"")</f>
        <v>0</v>
      </c>
      <c r="V9" s="14">
        <f>IF(MONTH(DATE(CalYear,10,4))=10,IFERROR(INDEX(Holidays!$B$6:$B$60,MATCH(DATE(CalYear,10,4),Holidays!$C$6:$C$60,0)),""),"")</f>
        <v>0</v>
      </c>
      <c r="W9" s="13">
        <f>IF(MONTH(DATE(CalYear,11,4))=11,CHOOSE(WEEKDAY(DATE(CalYear,11,4)),"Su","Mo","Tu","We","Th","Fr","Sa"),"")</f>
        <v>0</v>
      </c>
      <c r="X9" s="14">
        <f>IF(MONTH(DATE(CalYear,11,4))=11,IFERROR(INDEX(Holidays!$B$6:$B$60,MATCH(DATE(CalYear,11,4),Holidays!$C$6:$C$60,0)),""),"")</f>
        <v>0</v>
      </c>
      <c r="Y9" s="13">
        <f>IF(MONTH(DATE(CalYear,12,4))=12,CHOOSE(WEEKDAY(DATE(CalYear,12,4)),"Su","Mo","Tu","We","Th","Fr","Sa"),"")</f>
        <v>0</v>
      </c>
      <c r="Z9" s="15">
        <f>IF(MONTH(DATE(CalYear,12,4))=12,IFERROR(INDEX(Holidays!$B$6:$B$60,MATCH(DATE(CalYear,12,4),Holidays!$C$6:$C$60,0)),""),"")</f>
        <v>0</v>
      </c>
      <c r="AA9" s="12">
        <v>4</v>
      </c>
    </row>
    <row r="10" spans="2:27" ht="22" customHeight="1">
      <c r="B10" s="12">
        <v>5</v>
      </c>
      <c r="C10" s="13">
        <f>IF(MONTH(DATE(CalYear,1,5))=1,CHOOSE(WEEKDAY(DATE(CalYear,1,5)),"Su","Mo","Tu","We","Th","Fr","Sa"),"")</f>
        <v>0</v>
      </c>
      <c r="D10" s="14">
        <f>IF(MONTH(DATE(CalYear,1,5))=1,IFERROR(INDEX(Holidays!$B$6:$B$60,MATCH(DATE(CalYear,1,5),Holidays!$C$6:$C$60,0)),""),"")</f>
        <v>0</v>
      </c>
      <c r="E10" s="13">
        <f>IF(MONTH(DATE(CalYear,2,5))=2,CHOOSE(WEEKDAY(DATE(CalYear,2,5)),"Su","Mo","Tu","We","Th","Fr","Sa"),"")</f>
        <v>0</v>
      </c>
      <c r="F10" s="14">
        <f>IF(MONTH(DATE(CalYear,2,5))=2,IFERROR(INDEX(Holidays!$B$6:$B$60,MATCH(DATE(CalYear,2,5),Holidays!$C$6:$C$60,0)),""),"")</f>
        <v>0</v>
      </c>
      <c r="G10" s="13">
        <f>IF(MONTH(DATE(CalYear,3,5))=3,CHOOSE(WEEKDAY(DATE(CalYear,3,5)),"Su","Mo","Tu","We","Th","Fr","Sa"),"")</f>
        <v>0</v>
      </c>
      <c r="H10" s="14">
        <f>IF(MONTH(DATE(CalYear,3,5))=3,IFERROR(INDEX(Holidays!$B$6:$B$60,MATCH(DATE(CalYear,3,5),Holidays!$C$6:$C$60,0)),""),"")</f>
        <v>0</v>
      </c>
      <c r="I10" s="13">
        <f>IF(MONTH(DATE(CalYear,4,5))=4,CHOOSE(WEEKDAY(DATE(CalYear,4,5)),"Su","Mo","Tu","We","Th","Fr","Sa"),"")</f>
        <v>0</v>
      </c>
      <c r="J10" s="14">
        <f>IF(MONTH(DATE(CalYear,4,5))=4,IFERROR(INDEX(Holidays!$B$6:$B$60,MATCH(DATE(CalYear,4,5),Holidays!$C$6:$C$60,0)),""),"")</f>
        <v>0</v>
      </c>
      <c r="K10" s="13">
        <f>IF(MONTH(DATE(CalYear,5,5))=5,CHOOSE(WEEKDAY(DATE(CalYear,5,5)),"Su","Mo","Tu","We","Th","Fr","Sa"),"")</f>
        <v>0</v>
      </c>
      <c r="L10" s="14">
        <f>IF(MONTH(DATE(CalYear,5,5))=5,IFERROR(INDEX(Holidays!$B$6:$B$60,MATCH(DATE(CalYear,5,5),Holidays!$C$6:$C$60,0)),""),"")</f>
        <v>0</v>
      </c>
      <c r="M10" s="13">
        <f>IF(MONTH(DATE(CalYear,6,5))=6,CHOOSE(WEEKDAY(DATE(CalYear,6,5)),"Su","Mo","Tu","We","Th","Fr","Sa"),"")</f>
        <v>0</v>
      </c>
      <c r="N10" s="14">
        <f>IF(MONTH(DATE(CalYear,6,5))=6,IFERROR(INDEX(Holidays!$B$6:$B$60,MATCH(DATE(CalYear,6,5),Holidays!$C$6:$C$60,0)),""),"")</f>
        <v>0</v>
      </c>
      <c r="O10" s="13">
        <f>IF(MONTH(DATE(CalYear,7,5))=7,CHOOSE(WEEKDAY(DATE(CalYear,7,5)),"Su","Mo","Tu","We","Th","Fr","Sa"),"")</f>
        <v>0</v>
      </c>
      <c r="P10" s="14">
        <f>IF(MONTH(DATE(CalYear,7,5))=7,IFERROR(INDEX(Holidays!$B$6:$B$60,MATCH(DATE(CalYear,7,5),Holidays!$C$6:$C$60,0)),""),"")</f>
        <v>0</v>
      </c>
      <c r="Q10" s="13">
        <f>IF(MONTH(DATE(CalYear,8,5))=8,CHOOSE(WEEKDAY(DATE(CalYear,8,5)),"Su","Mo","Tu","We","Th","Fr","Sa"),"")</f>
        <v>0</v>
      </c>
      <c r="R10" s="14">
        <f>IF(MONTH(DATE(CalYear,8,5))=8,IFERROR(INDEX(Holidays!$B$6:$B$60,MATCH(DATE(CalYear,8,5),Holidays!$C$6:$C$60,0)),""),"")</f>
        <v>0</v>
      </c>
      <c r="S10" s="13">
        <f>IF(MONTH(DATE(CalYear,9,5))=9,CHOOSE(WEEKDAY(DATE(CalYear,9,5)),"Su","Mo","Tu","We","Th","Fr","Sa"),"")</f>
        <v>0</v>
      </c>
      <c r="T10" s="14">
        <f>IF(MONTH(DATE(CalYear,9,5))=9,IFERROR(INDEX(Holidays!$B$6:$B$60,MATCH(DATE(CalYear,9,5),Holidays!$C$6:$C$60,0)),""),"")</f>
        <v>0</v>
      </c>
      <c r="U10" s="13">
        <f>IF(MONTH(DATE(CalYear,10,5))=10,CHOOSE(WEEKDAY(DATE(CalYear,10,5)),"Su","Mo","Tu","We","Th","Fr","Sa"),"")</f>
        <v>0</v>
      </c>
      <c r="V10" s="14">
        <f>IF(MONTH(DATE(CalYear,10,5))=10,IFERROR(INDEX(Holidays!$B$6:$B$60,MATCH(DATE(CalYear,10,5),Holidays!$C$6:$C$60,0)),""),"")</f>
        <v>0</v>
      </c>
      <c r="W10" s="13">
        <f>IF(MONTH(DATE(CalYear,11,5))=11,CHOOSE(WEEKDAY(DATE(CalYear,11,5)),"Su","Mo","Tu","We","Th","Fr","Sa"),"")</f>
        <v>0</v>
      </c>
      <c r="X10" s="14">
        <f>IF(MONTH(DATE(CalYear,11,5))=11,IFERROR(INDEX(Holidays!$B$6:$B$60,MATCH(DATE(CalYear,11,5),Holidays!$C$6:$C$60,0)),""),"")</f>
        <v>0</v>
      </c>
      <c r="Y10" s="13">
        <f>IF(MONTH(DATE(CalYear,12,5))=12,CHOOSE(WEEKDAY(DATE(CalYear,12,5)),"Su","Mo","Tu","We","Th","Fr","Sa"),"")</f>
        <v>0</v>
      </c>
      <c r="Z10" s="15">
        <f>IF(MONTH(DATE(CalYear,12,5))=12,IFERROR(INDEX(Holidays!$B$6:$B$60,MATCH(DATE(CalYear,12,5),Holidays!$C$6:$C$60,0)),""),"")</f>
        <v>0</v>
      </c>
      <c r="AA10" s="12">
        <v>5</v>
      </c>
    </row>
    <row r="11" spans="2:27" ht="22" customHeight="1">
      <c r="B11" s="12">
        <v>6</v>
      </c>
      <c r="C11" s="13">
        <f>IF(MONTH(DATE(CalYear,1,6))=1,CHOOSE(WEEKDAY(DATE(CalYear,1,6)),"Su","Mo","Tu","We","Th","Fr","Sa"),"")</f>
        <v>0</v>
      </c>
      <c r="D11" s="14">
        <f>IF(MONTH(DATE(CalYear,1,6))=1,IFERROR(INDEX(Holidays!$B$6:$B$60,MATCH(DATE(CalYear,1,6),Holidays!$C$6:$C$60,0)),""),"")</f>
        <v>0</v>
      </c>
      <c r="E11" s="13">
        <f>IF(MONTH(DATE(CalYear,2,6))=2,CHOOSE(WEEKDAY(DATE(CalYear,2,6)),"Su","Mo","Tu","We","Th","Fr","Sa"),"")</f>
        <v>0</v>
      </c>
      <c r="F11" s="14">
        <f>IF(MONTH(DATE(CalYear,2,6))=2,IFERROR(INDEX(Holidays!$B$6:$B$60,MATCH(DATE(CalYear,2,6),Holidays!$C$6:$C$60,0)),""),"")</f>
        <v>0</v>
      </c>
      <c r="G11" s="13">
        <f>IF(MONTH(DATE(CalYear,3,6))=3,CHOOSE(WEEKDAY(DATE(CalYear,3,6)),"Su","Mo","Tu","We","Th","Fr","Sa"),"")</f>
        <v>0</v>
      </c>
      <c r="H11" s="14">
        <f>IF(MONTH(DATE(CalYear,3,6))=3,IFERROR(INDEX(Holidays!$B$6:$B$60,MATCH(DATE(CalYear,3,6),Holidays!$C$6:$C$60,0)),""),"")</f>
        <v>0</v>
      </c>
      <c r="I11" s="13">
        <f>IF(MONTH(DATE(CalYear,4,6))=4,CHOOSE(WEEKDAY(DATE(CalYear,4,6)),"Su","Mo","Tu","We","Th","Fr","Sa"),"")</f>
        <v>0</v>
      </c>
      <c r="J11" s="14">
        <f>IF(MONTH(DATE(CalYear,4,6))=4,IFERROR(INDEX(Holidays!$B$6:$B$60,MATCH(DATE(CalYear,4,6),Holidays!$C$6:$C$60,0)),""),"")</f>
        <v>0</v>
      </c>
      <c r="K11" s="13">
        <f>IF(MONTH(DATE(CalYear,5,6))=5,CHOOSE(WEEKDAY(DATE(CalYear,5,6)),"Su","Mo","Tu","We","Th","Fr","Sa"),"")</f>
        <v>0</v>
      </c>
      <c r="L11" s="14">
        <f>IF(MONTH(DATE(CalYear,5,6))=5,IFERROR(INDEX(Holidays!$B$6:$B$60,MATCH(DATE(CalYear,5,6),Holidays!$C$6:$C$60,0)),""),"")</f>
        <v>0</v>
      </c>
      <c r="M11" s="13">
        <f>IF(MONTH(DATE(CalYear,6,6))=6,CHOOSE(WEEKDAY(DATE(CalYear,6,6)),"Su","Mo","Tu","We","Th","Fr","Sa"),"")</f>
        <v>0</v>
      </c>
      <c r="N11" s="14">
        <f>IF(MONTH(DATE(CalYear,6,6))=6,IFERROR(INDEX(Holidays!$B$6:$B$60,MATCH(DATE(CalYear,6,6),Holidays!$C$6:$C$60,0)),""),"")</f>
        <v>0</v>
      </c>
      <c r="O11" s="13">
        <f>IF(MONTH(DATE(CalYear,7,6))=7,CHOOSE(WEEKDAY(DATE(CalYear,7,6)),"Su","Mo","Tu","We","Th","Fr","Sa"),"")</f>
        <v>0</v>
      </c>
      <c r="P11" s="14">
        <f>IF(MONTH(DATE(CalYear,7,6))=7,IFERROR(INDEX(Holidays!$B$6:$B$60,MATCH(DATE(CalYear,7,6),Holidays!$C$6:$C$60,0)),""),"")</f>
        <v>0</v>
      </c>
      <c r="Q11" s="13">
        <f>IF(MONTH(DATE(CalYear,8,6))=8,CHOOSE(WEEKDAY(DATE(CalYear,8,6)),"Su","Mo","Tu","We","Th","Fr","Sa"),"")</f>
        <v>0</v>
      </c>
      <c r="R11" s="14">
        <f>IF(MONTH(DATE(CalYear,8,6))=8,IFERROR(INDEX(Holidays!$B$6:$B$60,MATCH(DATE(CalYear,8,6),Holidays!$C$6:$C$60,0)),""),"")</f>
        <v>0</v>
      </c>
      <c r="S11" s="13">
        <f>IF(MONTH(DATE(CalYear,9,6))=9,CHOOSE(WEEKDAY(DATE(CalYear,9,6)),"Su","Mo","Tu","We","Th","Fr","Sa"),"")</f>
        <v>0</v>
      </c>
      <c r="T11" s="14">
        <f>IF(MONTH(DATE(CalYear,9,6))=9,IFERROR(INDEX(Holidays!$B$6:$B$60,MATCH(DATE(CalYear,9,6),Holidays!$C$6:$C$60,0)),""),"")</f>
        <v>0</v>
      </c>
      <c r="U11" s="13">
        <f>IF(MONTH(DATE(CalYear,10,6))=10,CHOOSE(WEEKDAY(DATE(CalYear,10,6)),"Su","Mo","Tu","We","Th","Fr","Sa"),"")</f>
        <v>0</v>
      </c>
      <c r="V11" s="14">
        <f>IF(MONTH(DATE(CalYear,10,6))=10,IFERROR(INDEX(Holidays!$B$6:$B$60,MATCH(DATE(CalYear,10,6),Holidays!$C$6:$C$60,0)),""),"")</f>
        <v>0</v>
      </c>
      <c r="W11" s="13">
        <f>IF(MONTH(DATE(CalYear,11,6))=11,CHOOSE(WEEKDAY(DATE(CalYear,11,6)),"Su","Mo","Tu","We","Th","Fr","Sa"),"")</f>
        <v>0</v>
      </c>
      <c r="X11" s="14">
        <f>IF(MONTH(DATE(CalYear,11,6))=11,IFERROR(INDEX(Holidays!$B$6:$B$60,MATCH(DATE(CalYear,11,6),Holidays!$C$6:$C$60,0)),""),"")</f>
        <v>0</v>
      </c>
      <c r="Y11" s="13">
        <f>IF(MONTH(DATE(CalYear,12,6))=12,CHOOSE(WEEKDAY(DATE(CalYear,12,6)),"Su","Mo","Tu","We","Th","Fr","Sa"),"")</f>
        <v>0</v>
      </c>
      <c r="Z11" s="15">
        <f>IF(MONTH(DATE(CalYear,12,6))=12,IFERROR(INDEX(Holidays!$B$6:$B$60,MATCH(DATE(CalYear,12,6),Holidays!$C$6:$C$60,0)),""),"")</f>
        <v>0</v>
      </c>
      <c r="AA11" s="12">
        <v>6</v>
      </c>
    </row>
    <row r="12" spans="2:27" ht="22" customHeight="1">
      <c r="B12" s="12">
        <v>7</v>
      </c>
      <c r="C12" s="13">
        <f>IF(MONTH(DATE(CalYear,1,7))=1,CHOOSE(WEEKDAY(DATE(CalYear,1,7)),"Su","Mo","Tu","We","Th","Fr","Sa"),"")</f>
        <v>0</v>
      </c>
      <c r="D12" s="14">
        <f>IF(MONTH(DATE(CalYear,1,7))=1,IFERROR(INDEX(Holidays!$B$6:$B$60,MATCH(DATE(CalYear,1,7),Holidays!$C$6:$C$60,0)),""),"")</f>
        <v>0</v>
      </c>
      <c r="E12" s="13">
        <f>IF(MONTH(DATE(CalYear,2,7))=2,CHOOSE(WEEKDAY(DATE(CalYear,2,7)),"Su","Mo","Tu","We","Th","Fr","Sa"),"")</f>
        <v>0</v>
      </c>
      <c r="F12" s="14">
        <f>IF(MONTH(DATE(CalYear,2,7))=2,IFERROR(INDEX(Holidays!$B$6:$B$60,MATCH(DATE(CalYear,2,7),Holidays!$C$6:$C$60,0)),""),"")</f>
        <v>0</v>
      </c>
      <c r="G12" s="13">
        <f>IF(MONTH(DATE(CalYear,3,7))=3,CHOOSE(WEEKDAY(DATE(CalYear,3,7)),"Su","Mo","Tu","We","Th","Fr","Sa"),"")</f>
        <v>0</v>
      </c>
      <c r="H12" s="14">
        <f>IF(MONTH(DATE(CalYear,3,7))=3,IFERROR(INDEX(Holidays!$B$6:$B$60,MATCH(DATE(CalYear,3,7),Holidays!$C$6:$C$60,0)),""),"")</f>
        <v>0</v>
      </c>
      <c r="I12" s="13">
        <f>IF(MONTH(DATE(CalYear,4,7))=4,CHOOSE(WEEKDAY(DATE(CalYear,4,7)),"Su","Mo","Tu","We","Th","Fr","Sa"),"")</f>
        <v>0</v>
      </c>
      <c r="J12" s="14">
        <f>IF(MONTH(DATE(CalYear,4,7))=4,IFERROR(INDEX(Holidays!$B$6:$B$60,MATCH(DATE(CalYear,4,7),Holidays!$C$6:$C$60,0)),""),"")</f>
        <v>0</v>
      </c>
      <c r="K12" s="13">
        <f>IF(MONTH(DATE(CalYear,5,7))=5,CHOOSE(WEEKDAY(DATE(CalYear,5,7)),"Su","Mo","Tu","We","Th","Fr","Sa"),"")</f>
        <v>0</v>
      </c>
      <c r="L12" s="14">
        <f>IF(MONTH(DATE(CalYear,5,7))=5,IFERROR(INDEX(Holidays!$B$6:$B$60,MATCH(DATE(CalYear,5,7),Holidays!$C$6:$C$60,0)),""),"")</f>
        <v>0</v>
      </c>
      <c r="M12" s="13">
        <f>IF(MONTH(DATE(CalYear,6,7))=6,CHOOSE(WEEKDAY(DATE(CalYear,6,7)),"Su","Mo","Tu","We","Th","Fr","Sa"),"")</f>
        <v>0</v>
      </c>
      <c r="N12" s="14">
        <f>IF(MONTH(DATE(CalYear,6,7))=6,IFERROR(INDEX(Holidays!$B$6:$B$60,MATCH(DATE(CalYear,6,7),Holidays!$C$6:$C$60,0)),""),"")</f>
        <v>0</v>
      </c>
      <c r="O12" s="13">
        <f>IF(MONTH(DATE(CalYear,7,7))=7,CHOOSE(WEEKDAY(DATE(CalYear,7,7)),"Su","Mo","Tu","We","Th","Fr","Sa"),"")</f>
        <v>0</v>
      </c>
      <c r="P12" s="14">
        <f>IF(MONTH(DATE(CalYear,7,7))=7,IFERROR(INDEX(Holidays!$B$6:$B$60,MATCH(DATE(CalYear,7,7),Holidays!$C$6:$C$60,0)),""),"")</f>
        <v>0</v>
      </c>
      <c r="Q12" s="13">
        <f>IF(MONTH(DATE(CalYear,8,7))=8,CHOOSE(WEEKDAY(DATE(CalYear,8,7)),"Su","Mo","Tu","We","Th","Fr","Sa"),"")</f>
        <v>0</v>
      </c>
      <c r="R12" s="14">
        <f>IF(MONTH(DATE(CalYear,8,7))=8,IFERROR(INDEX(Holidays!$B$6:$B$60,MATCH(DATE(CalYear,8,7),Holidays!$C$6:$C$60,0)),""),"")</f>
        <v>0</v>
      </c>
      <c r="S12" s="13">
        <f>IF(MONTH(DATE(CalYear,9,7))=9,CHOOSE(WEEKDAY(DATE(CalYear,9,7)),"Su","Mo","Tu","We","Th","Fr","Sa"),"")</f>
        <v>0</v>
      </c>
      <c r="T12" s="14">
        <f>IF(MONTH(DATE(CalYear,9,7))=9,IFERROR(INDEX(Holidays!$B$6:$B$60,MATCH(DATE(CalYear,9,7),Holidays!$C$6:$C$60,0)),""),"")</f>
        <v>0</v>
      </c>
      <c r="U12" s="13">
        <f>IF(MONTH(DATE(CalYear,10,7))=10,CHOOSE(WEEKDAY(DATE(CalYear,10,7)),"Su","Mo","Tu","We","Th","Fr","Sa"),"")</f>
        <v>0</v>
      </c>
      <c r="V12" s="14">
        <f>IF(MONTH(DATE(CalYear,10,7))=10,IFERROR(INDEX(Holidays!$B$6:$B$60,MATCH(DATE(CalYear,10,7),Holidays!$C$6:$C$60,0)),""),"")</f>
        <v>0</v>
      </c>
      <c r="W12" s="13">
        <f>IF(MONTH(DATE(CalYear,11,7))=11,CHOOSE(WEEKDAY(DATE(CalYear,11,7)),"Su","Mo","Tu","We","Th","Fr","Sa"),"")</f>
        <v>0</v>
      </c>
      <c r="X12" s="14">
        <f>IF(MONTH(DATE(CalYear,11,7))=11,IFERROR(INDEX(Holidays!$B$6:$B$60,MATCH(DATE(CalYear,11,7),Holidays!$C$6:$C$60,0)),""),"")</f>
        <v>0</v>
      </c>
      <c r="Y12" s="13">
        <f>IF(MONTH(DATE(CalYear,12,7))=12,CHOOSE(WEEKDAY(DATE(CalYear,12,7)),"Su","Mo","Tu","We","Th","Fr","Sa"),"")</f>
        <v>0</v>
      </c>
      <c r="Z12" s="15">
        <f>IF(MONTH(DATE(CalYear,12,7))=12,IFERROR(INDEX(Holidays!$B$6:$B$60,MATCH(DATE(CalYear,12,7),Holidays!$C$6:$C$60,0)),""),"")</f>
        <v>0</v>
      </c>
      <c r="AA12" s="12">
        <v>7</v>
      </c>
    </row>
    <row r="13" spans="2:27" ht="22" customHeight="1">
      <c r="B13" s="12">
        <v>8</v>
      </c>
      <c r="C13" s="13">
        <f>IF(MONTH(DATE(CalYear,1,8))=1,CHOOSE(WEEKDAY(DATE(CalYear,1,8)),"Su","Mo","Tu","We","Th","Fr","Sa"),"")</f>
        <v>0</v>
      </c>
      <c r="D13" s="14">
        <f>IF(MONTH(DATE(CalYear,1,8))=1,IFERROR(INDEX(Holidays!$B$6:$B$60,MATCH(DATE(CalYear,1,8),Holidays!$C$6:$C$60,0)),""),"")</f>
        <v>0</v>
      </c>
      <c r="E13" s="13">
        <f>IF(MONTH(DATE(CalYear,2,8))=2,CHOOSE(WEEKDAY(DATE(CalYear,2,8)),"Su","Mo","Tu","We","Th","Fr","Sa"),"")</f>
        <v>0</v>
      </c>
      <c r="F13" s="14">
        <f>IF(MONTH(DATE(CalYear,2,8))=2,IFERROR(INDEX(Holidays!$B$6:$B$60,MATCH(DATE(CalYear,2,8),Holidays!$C$6:$C$60,0)),""),"")</f>
        <v>0</v>
      </c>
      <c r="G13" s="13">
        <f>IF(MONTH(DATE(CalYear,3,8))=3,CHOOSE(WEEKDAY(DATE(CalYear,3,8)),"Su","Mo","Tu","We","Th","Fr","Sa"),"")</f>
        <v>0</v>
      </c>
      <c r="H13" s="14">
        <f>IF(MONTH(DATE(CalYear,3,8))=3,IFERROR(INDEX(Holidays!$B$6:$B$60,MATCH(DATE(CalYear,3,8),Holidays!$C$6:$C$60,0)),""),"")</f>
        <v>0</v>
      </c>
      <c r="I13" s="13">
        <f>IF(MONTH(DATE(CalYear,4,8))=4,CHOOSE(WEEKDAY(DATE(CalYear,4,8)),"Su","Mo","Tu","We","Th","Fr","Sa"),"")</f>
        <v>0</v>
      </c>
      <c r="J13" s="14">
        <f>IF(MONTH(DATE(CalYear,4,8))=4,IFERROR(INDEX(Holidays!$B$6:$B$60,MATCH(DATE(CalYear,4,8),Holidays!$C$6:$C$60,0)),""),"")</f>
        <v>0</v>
      </c>
      <c r="K13" s="13">
        <f>IF(MONTH(DATE(CalYear,5,8))=5,CHOOSE(WEEKDAY(DATE(CalYear,5,8)),"Su","Mo","Tu","We","Th","Fr","Sa"),"")</f>
        <v>0</v>
      </c>
      <c r="L13" s="14">
        <f>IF(MONTH(DATE(CalYear,5,8))=5,IFERROR(INDEX(Holidays!$B$6:$B$60,MATCH(DATE(CalYear,5,8),Holidays!$C$6:$C$60,0)),""),"")</f>
        <v>0</v>
      </c>
      <c r="M13" s="13">
        <f>IF(MONTH(DATE(CalYear,6,8))=6,CHOOSE(WEEKDAY(DATE(CalYear,6,8)),"Su","Mo","Tu","We","Th","Fr","Sa"),"")</f>
        <v>0</v>
      </c>
      <c r="N13" s="14">
        <f>IF(MONTH(DATE(CalYear,6,8))=6,IFERROR(INDEX(Holidays!$B$6:$B$60,MATCH(DATE(CalYear,6,8),Holidays!$C$6:$C$60,0)),""),"")</f>
        <v>0</v>
      </c>
      <c r="O13" s="13">
        <f>IF(MONTH(DATE(CalYear,7,8))=7,CHOOSE(WEEKDAY(DATE(CalYear,7,8)),"Su","Mo","Tu","We","Th","Fr","Sa"),"")</f>
        <v>0</v>
      </c>
      <c r="P13" s="14">
        <f>IF(MONTH(DATE(CalYear,7,8))=7,IFERROR(INDEX(Holidays!$B$6:$B$60,MATCH(DATE(CalYear,7,8),Holidays!$C$6:$C$60,0)),""),"")</f>
        <v>0</v>
      </c>
      <c r="Q13" s="13">
        <f>IF(MONTH(DATE(CalYear,8,8))=8,CHOOSE(WEEKDAY(DATE(CalYear,8,8)),"Su","Mo","Tu","We","Th","Fr","Sa"),"")</f>
        <v>0</v>
      </c>
      <c r="R13" s="14">
        <f>IF(MONTH(DATE(CalYear,8,8))=8,IFERROR(INDEX(Holidays!$B$6:$B$60,MATCH(DATE(CalYear,8,8),Holidays!$C$6:$C$60,0)),""),"")</f>
        <v>0</v>
      </c>
      <c r="S13" s="13">
        <f>IF(MONTH(DATE(CalYear,9,8))=9,CHOOSE(WEEKDAY(DATE(CalYear,9,8)),"Su","Mo","Tu","We","Th","Fr","Sa"),"")</f>
        <v>0</v>
      </c>
      <c r="T13" s="14">
        <f>IF(MONTH(DATE(CalYear,9,8))=9,IFERROR(INDEX(Holidays!$B$6:$B$60,MATCH(DATE(CalYear,9,8),Holidays!$C$6:$C$60,0)),""),"")</f>
        <v>0</v>
      </c>
      <c r="U13" s="13">
        <f>IF(MONTH(DATE(CalYear,10,8))=10,CHOOSE(WEEKDAY(DATE(CalYear,10,8)),"Su","Mo","Tu","We","Th","Fr","Sa"),"")</f>
        <v>0</v>
      </c>
      <c r="V13" s="14">
        <f>IF(MONTH(DATE(CalYear,10,8))=10,IFERROR(INDEX(Holidays!$B$6:$B$60,MATCH(DATE(CalYear,10,8),Holidays!$C$6:$C$60,0)),""),"")</f>
        <v>0</v>
      </c>
      <c r="W13" s="13">
        <f>IF(MONTH(DATE(CalYear,11,8))=11,CHOOSE(WEEKDAY(DATE(CalYear,11,8)),"Su","Mo","Tu","We","Th","Fr","Sa"),"")</f>
        <v>0</v>
      </c>
      <c r="X13" s="14">
        <f>IF(MONTH(DATE(CalYear,11,8))=11,IFERROR(INDEX(Holidays!$B$6:$B$60,MATCH(DATE(CalYear,11,8),Holidays!$C$6:$C$60,0)),""),"")</f>
        <v>0</v>
      </c>
      <c r="Y13" s="13">
        <f>IF(MONTH(DATE(CalYear,12,8))=12,CHOOSE(WEEKDAY(DATE(CalYear,12,8)),"Su","Mo","Tu","We","Th","Fr","Sa"),"")</f>
        <v>0</v>
      </c>
      <c r="Z13" s="15">
        <f>IF(MONTH(DATE(CalYear,12,8))=12,IFERROR(INDEX(Holidays!$B$6:$B$60,MATCH(DATE(CalYear,12,8),Holidays!$C$6:$C$60,0)),""),"")</f>
        <v>0</v>
      </c>
      <c r="AA13" s="12">
        <v>8</v>
      </c>
    </row>
    <row r="14" spans="2:27" ht="22" customHeight="1">
      <c r="B14" s="12">
        <v>9</v>
      </c>
      <c r="C14" s="13">
        <f>IF(MONTH(DATE(CalYear,1,9))=1,CHOOSE(WEEKDAY(DATE(CalYear,1,9)),"Su","Mo","Tu","We","Th","Fr","Sa"),"")</f>
        <v>0</v>
      </c>
      <c r="D14" s="14">
        <f>IF(MONTH(DATE(CalYear,1,9))=1,IFERROR(INDEX(Holidays!$B$6:$B$60,MATCH(DATE(CalYear,1,9),Holidays!$C$6:$C$60,0)),""),"")</f>
        <v>0</v>
      </c>
      <c r="E14" s="13">
        <f>IF(MONTH(DATE(CalYear,2,9))=2,CHOOSE(WEEKDAY(DATE(CalYear,2,9)),"Su","Mo","Tu","We","Th","Fr","Sa"),"")</f>
        <v>0</v>
      </c>
      <c r="F14" s="14">
        <f>IF(MONTH(DATE(CalYear,2,9))=2,IFERROR(INDEX(Holidays!$B$6:$B$60,MATCH(DATE(CalYear,2,9),Holidays!$C$6:$C$60,0)),""),"")</f>
        <v>0</v>
      </c>
      <c r="G14" s="13">
        <f>IF(MONTH(DATE(CalYear,3,9))=3,CHOOSE(WEEKDAY(DATE(CalYear,3,9)),"Su","Mo","Tu","We","Th","Fr","Sa"),"")</f>
        <v>0</v>
      </c>
      <c r="H14" s="14">
        <f>IF(MONTH(DATE(CalYear,3,9))=3,IFERROR(INDEX(Holidays!$B$6:$B$60,MATCH(DATE(CalYear,3,9),Holidays!$C$6:$C$60,0)),""),"")</f>
        <v>0</v>
      </c>
      <c r="I14" s="13">
        <f>IF(MONTH(DATE(CalYear,4,9))=4,CHOOSE(WEEKDAY(DATE(CalYear,4,9)),"Su","Mo","Tu","We","Th","Fr","Sa"),"")</f>
        <v>0</v>
      </c>
      <c r="J14" s="14">
        <f>IF(MONTH(DATE(CalYear,4,9))=4,IFERROR(INDEX(Holidays!$B$6:$B$60,MATCH(DATE(CalYear,4,9),Holidays!$C$6:$C$60,0)),""),"")</f>
        <v>0</v>
      </c>
      <c r="K14" s="13">
        <f>IF(MONTH(DATE(CalYear,5,9))=5,CHOOSE(WEEKDAY(DATE(CalYear,5,9)),"Su","Mo","Tu","We","Th","Fr","Sa"),"")</f>
        <v>0</v>
      </c>
      <c r="L14" s="14">
        <f>IF(MONTH(DATE(CalYear,5,9))=5,IFERROR(INDEX(Holidays!$B$6:$B$60,MATCH(DATE(CalYear,5,9),Holidays!$C$6:$C$60,0)),""),"")</f>
        <v>0</v>
      </c>
      <c r="M14" s="13">
        <f>IF(MONTH(DATE(CalYear,6,9))=6,CHOOSE(WEEKDAY(DATE(CalYear,6,9)),"Su","Mo","Tu","We","Th","Fr","Sa"),"")</f>
        <v>0</v>
      </c>
      <c r="N14" s="14">
        <f>IF(MONTH(DATE(CalYear,6,9))=6,IFERROR(INDEX(Holidays!$B$6:$B$60,MATCH(DATE(CalYear,6,9),Holidays!$C$6:$C$60,0)),""),"")</f>
        <v>0</v>
      </c>
      <c r="O14" s="13">
        <f>IF(MONTH(DATE(CalYear,7,9))=7,CHOOSE(WEEKDAY(DATE(CalYear,7,9)),"Su","Mo","Tu","We","Th","Fr","Sa"),"")</f>
        <v>0</v>
      </c>
      <c r="P14" s="14">
        <f>IF(MONTH(DATE(CalYear,7,9))=7,IFERROR(INDEX(Holidays!$B$6:$B$60,MATCH(DATE(CalYear,7,9),Holidays!$C$6:$C$60,0)),""),"")</f>
        <v>0</v>
      </c>
      <c r="Q14" s="13">
        <f>IF(MONTH(DATE(CalYear,8,9))=8,CHOOSE(WEEKDAY(DATE(CalYear,8,9)),"Su","Mo","Tu","We","Th","Fr","Sa"),"")</f>
        <v>0</v>
      </c>
      <c r="R14" s="14">
        <f>IF(MONTH(DATE(CalYear,8,9))=8,IFERROR(INDEX(Holidays!$B$6:$B$60,MATCH(DATE(CalYear,8,9),Holidays!$C$6:$C$60,0)),""),"")</f>
        <v>0</v>
      </c>
      <c r="S14" s="13">
        <f>IF(MONTH(DATE(CalYear,9,9))=9,CHOOSE(WEEKDAY(DATE(CalYear,9,9)),"Su","Mo","Tu","We","Th","Fr","Sa"),"")</f>
        <v>0</v>
      </c>
      <c r="T14" s="14">
        <f>IF(MONTH(DATE(CalYear,9,9))=9,IFERROR(INDEX(Holidays!$B$6:$B$60,MATCH(DATE(CalYear,9,9),Holidays!$C$6:$C$60,0)),""),"")</f>
        <v>0</v>
      </c>
      <c r="U14" s="13">
        <f>IF(MONTH(DATE(CalYear,10,9))=10,CHOOSE(WEEKDAY(DATE(CalYear,10,9)),"Su","Mo","Tu","We","Th","Fr","Sa"),"")</f>
        <v>0</v>
      </c>
      <c r="V14" s="14">
        <f>IF(MONTH(DATE(CalYear,10,9))=10,IFERROR(INDEX(Holidays!$B$6:$B$60,MATCH(DATE(CalYear,10,9),Holidays!$C$6:$C$60,0)),""),"")</f>
        <v>0</v>
      </c>
      <c r="W14" s="13">
        <f>IF(MONTH(DATE(CalYear,11,9))=11,CHOOSE(WEEKDAY(DATE(CalYear,11,9)),"Su","Mo","Tu","We","Th","Fr","Sa"),"")</f>
        <v>0</v>
      </c>
      <c r="X14" s="14">
        <f>IF(MONTH(DATE(CalYear,11,9))=11,IFERROR(INDEX(Holidays!$B$6:$B$60,MATCH(DATE(CalYear,11,9),Holidays!$C$6:$C$60,0)),""),"")</f>
        <v>0</v>
      </c>
      <c r="Y14" s="13">
        <f>IF(MONTH(DATE(CalYear,12,9))=12,CHOOSE(WEEKDAY(DATE(CalYear,12,9)),"Su","Mo","Tu","We","Th","Fr","Sa"),"")</f>
        <v>0</v>
      </c>
      <c r="Z14" s="15">
        <f>IF(MONTH(DATE(CalYear,12,9))=12,IFERROR(INDEX(Holidays!$B$6:$B$60,MATCH(DATE(CalYear,12,9),Holidays!$C$6:$C$60,0)),""),"")</f>
        <v>0</v>
      </c>
      <c r="AA14" s="12">
        <v>9</v>
      </c>
    </row>
    <row r="15" spans="2:27" ht="22" customHeight="1">
      <c r="B15" s="12">
        <v>10</v>
      </c>
      <c r="C15" s="13">
        <f>IF(MONTH(DATE(CalYear,1,10))=1,CHOOSE(WEEKDAY(DATE(CalYear,1,10)),"Su","Mo","Tu","We","Th","Fr","Sa"),"")</f>
        <v>0</v>
      </c>
      <c r="D15" s="14">
        <f>IF(MONTH(DATE(CalYear,1,10))=1,IFERROR(INDEX(Holidays!$B$6:$B$60,MATCH(DATE(CalYear,1,10),Holidays!$C$6:$C$60,0)),""),"")</f>
        <v>0</v>
      </c>
      <c r="E15" s="13">
        <f>IF(MONTH(DATE(CalYear,2,10))=2,CHOOSE(WEEKDAY(DATE(CalYear,2,10)),"Su","Mo","Tu","We","Th","Fr","Sa"),"")</f>
        <v>0</v>
      </c>
      <c r="F15" s="14">
        <f>IF(MONTH(DATE(CalYear,2,10))=2,IFERROR(INDEX(Holidays!$B$6:$B$60,MATCH(DATE(CalYear,2,10),Holidays!$C$6:$C$60,0)),""),"")</f>
        <v>0</v>
      </c>
      <c r="G15" s="13">
        <f>IF(MONTH(DATE(CalYear,3,10))=3,CHOOSE(WEEKDAY(DATE(CalYear,3,10)),"Su","Mo","Tu","We","Th","Fr","Sa"),"")</f>
        <v>0</v>
      </c>
      <c r="H15" s="14">
        <f>IF(MONTH(DATE(CalYear,3,10))=3,IFERROR(INDEX(Holidays!$B$6:$B$60,MATCH(DATE(CalYear,3,10),Holidays!$C$6:$C$60,0)),""),"")</f>
        <v>0</v>
      </c>
      <c r="I15" s="13">
        <f>IF(MONTH(DATE(CalYear,4,10))=4,CHOOSE(WEEKDAY(DATE(CalYear,4,10)),"Su","Mo","Tu","We","Th","Fr","Sa"),"")</f>
        <v>0</v>
      </c>
      <c r="J15" s="14">
        <f>IF(MONTH(DATE(CalYear,4,10))=4,IFERROR(INDEX(Holidays!$B$6:$B$60,MATCH(DATE(CalYear,4,10),Holidays!$C$6:$C$60,0)),""),"")</f>
        <v>0</v>
      </c>
      <c r="K15" s="13">
        <f>IF(MONTH(DATE(CalYear,5,10))=5,CHOOSE(WEEKDAY(DATE(CalYear,5,10)),"Su","Mo","Tu","We","Th","Fr","Sa"),"")</f>
        <v>0</v>
      </c>
      <c r="L15" s="14">
        <f>IF(MONTH(DATE(CalYear,5,10))=5,IFERROR(INDEX(Holidays!$B$6:$B$60,MATCH(DATE(CalYear,5,10),Holidays!$C$6:$C$60,0)),""),"")</f>
        <v>0</v>
      </c>
      <c r="M15" s="13">
        <f>IF(MONTH(DATE(CalYear,6,10))=6,CHOOSE(WEEKDAY(DATE(CalYear,6,10)),"Su","Mo","Tu","We","Th","Fr","Sa"),"")</f>
        <v>0</v>
      </c>
      <c r="N15" s="14">
        <f>IF(MONTH(DATE(CalYear,6,10))=6,IFERROR(INDEX(Holidays!$B$6:$B$60,MATCH(DATE(CalYear,6,10),Holidays!$C$6:$C$60,0)),""),"")</f>
        <v>0</v>
      </c>
      <c r="O15" s="13">
        <f>IF(MONTH(DATE(CalYear,7,10))=7,CHOOSE(WEEKDAY(DATE(CalYear,7,10)),"Su","Mo","Tu","We","Th","Fr","Sa"),"")</f>
        <v>0</v>
      </c>
      <c r="P15" s="14">
        <f>IF(MONTH(DATE(CalYear,7,10))=7,IFERROR(INDEX(Holidays!$B$6:$B$60,MATCH(DATE(CalYear,7,10),Holidays!$C$6:$C$60,0)),""),"")</f>
        <v>0</v>
      </c>
      <c r="Q15" s="13">
        <f>IF(MONTH(DATE(CalYear,8,10))=8,CHOOSE(WEEKDAY(DATE(CalYear,8,10)),"Su","Mo","Tu","We","Th","Fr","Sa"),"")</f>
        <v>0</v>
      </c>
      <c r="R15" s="14">
        <f>IF(MONTH(DATE(CalYear,8,10))=8,IFERROR(INDEX(Holidays!$B$6:$B$60,MATCH(DATE(CalYear,8,10),Holidays!$C$6:$C$60,0)),""),"")</f>
        <v>0</v>
      </c>
      <c r="S15" s="13">
        <f>IF(MONTH(DATE(CalYear,9,10))=9,CHOOSE(WEEKDAY(DATE(CalYear,9,10)),"Su","Mo","Tu","We","Th","Fr","Sa"),"")</f>
        <v>0</v>
      </c>
      <c r="T15" s="14">
        <f>IF(MONTH(DATE(CalYear,9,10))=9,IFERROR(INDEX(Holidays!$B$6:$B$60,MATCH(DATE(CalYear,9,10),Holidays!$C$6:$C$60,0)),""),"")</f>
        <v>0</v>
      </c>
      <c r="U15" s="13">
        <f>IF(MONTH(DATE(CalYear,10,10))=10,CHOOSE(WEEKDAY(DATE(CalYear,10,10)),"Su","Mo","Tu","We","Th","Fr","Sa"),"")</f>
        <v>0</v>
      </c>
      <c r="V15" s="14">
        <f>IF(MONTH(DATE(CalYear,10,10))=10,IFERROR(INDEX(Holidays!$B$6:$B$60,MATCH(DATE(CalYear,10,10),Holidays!$C$6:$C$60,0)),""),"")</f>
        <v>0</v>
      </c>
      <c r="W15" s="13">
        <f>IF(MONTH(DATE(CalYear,11,10))=11,CHOOSE(WEEKDAY(DATE(CalYear,11,10)),"Su","Mo","Tu","We","Th","Fr","Sa"),"")</f>
        <v>0</v>
      </c>
      <c r="X15" s="14">
        <f>IF(MONTH(DATE(CalYear,11,10))=11,IFERROR(INDEX(Holidays!$B$6:$B$60,MATCH(DATE(CalYear,11,10),Holidays!$C$6:$C$60,0)),""),"")</f>
        <v>0</v>
      </c>
      <c r="Y15" s="13">
        <f>IF(MONTH(DATE(CalYear,12,10))=12,CHOOSE(WEEKDAY(DATE(CalYear,12,10)),"Su","Mo","Tu","We","Th","Fr","Sa"),"")</f>
        <v>0</v>
      </c>
      <c r="Z15" s="15">
        <f>IF(MONTH(DATE(CalYear,12,10))=12,IFERROR(INDEX(Holidays!$B$6:$B$60,MATCH(DATE(CalYear,12,10),Holidays!$C$6:$C$60,0)),""),"")</f>
        <v>0</v>
      </c>
      <c r="AA15" s="12">
        <v>10</v>
      </c>
    </row>
    <row r="16" spans="2:27" ht="22" customHeight="1">
      <c r="B16" s="12">
        <v>11</v>
      </c>
      <c r="C16" s="13">
        <f>IF(MONTH(DATE(CalYear,1,11))=1,CHOOSE(WEEKDAY(DATE(CalYear,1,11)),"Su","Mo","Tu","We","Th","Fr","Sa"),"")</f>
        <v>0</v>
      </c>
      <c r="D16" s="14">
        <f>IF(MONTH(DATE(CalYear,1,11))=1,IFERROR(INDEX(Holidays!$B$6:$B$60,MATCH(DATE(CalYear,1,11),Holidays!$C$6:$C$60,0)),""),"")</f>
        <v>0</v>
      </c>
      <c r="E16" s="13">
        <f>IF(MONTH(DATE(CalYear,2,11))=2,CHOOSE(WEEKDAY(DATE(CalYear,2,11)),"Su","Mo","Tu","We","Th","Fr","Sa"),"")</f>
        <v>0</v>
      </c>
      <c r="F16" s="14">
        <f>IF(MONTH(DATE(CalYear,2,11))=2,IFERROR(INDEX(Holidays!$B$6:$B$60,MATCH(DATE(CalYear,2,11),Holidays!$C$6:$C$60,0)),""),"")</f>
        <v>0</v>
      </c>
      <c r="G16" s="13">
        <f>IF(MONTH(DATE(CalYear,3,11))=3,CHOOSE(WEEKDAY(DATE(CalYear,3,11)),"Su","Mo","Tu","We","Th","Fr","Sa"),"")</f>
        <v>0</v>
      </c>
      <c r="H16" s="14">
        <f>IF(MONTH(DATE(CalYear,3,11))=3,IFERROR(INDEX(Holidays!$B$6:$B$60,MATCH(DATE(CalYear,3,11),Holidays!$C$6:$C$60,0)),""),"")</f>
        <v>0</v>
      </c>
      <c r="I16" s="13">
        <f>IF(MONTH(DATE(CalYear,4,11))=4,CHOOSE(WEEKDAY(DATE(CalYear,4,11)),"Su","Mo","Tu","We","Th","Fr","Sa"),"")</f>
        <v>0</v>
      </c>
      <c r="J16" s="14">
        <f>IF(MONTH(DATE(CalYear,4,11))=4,IFERROR(INDEX(Holidays!$B$6:$B$60,MATCH(DATE(CalYear,4,11),Holidays!$C$6:$C$60,0)),""),"")</f>
        <v>0</v>
      </c>
      <c r="K16" s="13">
        <f>IF(MONTH(DATE(CalYear,5,11))=5,CHOOSE(WEEKDAY(DATE(CalYear,5,11)),"Su","Mo","Tu","We","Th","Fr","Sa"),"")</f>
        <v>0</v>
      </c>
      <c r="L16" s="14">
        <f>IF(MONTH(DATE(CalYear,5,11))=5,IFERROR(INDEX(Holidays!$B$6:$B$60,MATCH(DATE(CalYear,5,11),Holidays!$C$6:$C$60,0)),""),"")</f>
        <v>0</v>
      </c>
      <c r="M16" s="13">
        <f>IF(MONTH(DATE(CalYear,6,11))=6,CHOOSE(WEEKDAY(DATE(CalYear,6,11)),"Su","Mo","Tu","We","Th","Fr","Sa"),"")</f>
        <v>0</v>
      </c>
      <c r="N16" s="14">
        <f>IF(MONTH(DATE(CalYear,6,11))=6,IFERROR(INDEX(Holidays!$B$6:$B$60,MATCH(DATE(CalYear,6,11),Holidays!$C$6:$C$60,0)),""),"")</f>
        <v>0</v>
      </c>
      <c r="O16" s="13">
        <f>IF(MONTH(DATE(CalYear,7,11))=7,CHOOSE(WEEKDAY(DATE(CalYear,7,11)),"Su","Mo","Tu","We","Th","Fr","Sa"),"")</f>
        <v>0</v>
      </c>
      <c r="P16" s="14">
        <f>IF(MONTH(DATE(CalYear,7,11))=7,IFERROR(INDEX(Holidays!$B$6:$B$60,MATCH(DATE(CalYear,7,11),Holidays!$C$6:$C$60,0)),""),"")</f>
        <v>0</v>
      </c>
      <c r="Q16" s="13">
        <f>IF(MONTH(DATE(CalYear,8,11))=8,CHOOSE(WEEKDAY(DATE(CalYear,8,11)),"Su","Mo","Tu","We","Th","Fr","Sa"),"")</f>
        <v>0</v>
      </c>
      <c r="R16" s="14">
        <f>IF(MONTH(DATE(CalYear,8,11))=8,IFERROR(INDEX(Holidays!$B$6:$B$60,MATCH(DATE(CalYear,8,11),Holidays!$C$6:$C$60,0)),""),"")</f>
        <v>0</v>
      </c>
      <c r="S16" s="13">
        <f>IF(MONTH(DATE(CalYear,9,11))=9,CHOOSE(WEEKDAY(DATE(CalYear,9,11)),"Su","Mo","Tu","We","Th","Fr","Sa"),"")</f>
        <v>0</v>
      </c>
      <c r="T16" s="14">
        <f>IF(MONTH(DATE(CalYear,9,11))=9,IFERROR(INDEX(Holidays!$B$6:$B$60,MATCH(DATE(CalYear,9,11),Holidays!$C$6:$C$60,0)),""),"")</f>
        <v>0</v>
      </c>
      <c r="U16" s="13">
        <f>IF(MONTH(DATE(CalYear,10,11))=10,CHOOSE(WEEKDAY(DATE(CalYear,10,11)),"Su","Mo","Tu","We","Th","Fr","Sa"),"")</f>
        <v>0</v>
      </c>
      <c r="V16" s="14">
        <f>IF(MONTH(DATE(CalYear,10,11))=10,IFERROR(INDEX(Holidays!$B$6:$B$60,MATCH(DATE(CalYear,10,11),Holidays!$C$6:$C$60,0)),""),"")</f>
        <v>0</v>
      </c>
      <c r="W16" s="13">
        <f>IF(MONTH(DATE(CalYear,11,11))=11,CHOOSE(WEEKDAY(DATE(CalYear,11,11)),"Su","Mo","Tu","We","Th","Fr","Sa"),"")</f>
        <v>0</v>
      </c>
      <c r="X16" s="14">
        <f>IF(MONTH(DATE(CalYear,11,11))=11,IFERROR(INDEX(Holidays!$B$6:$B$60,MATCH(DATE(CalYear,11,11),Holidays!$C$6:$C$60,0)),""),"")</f>
        <v>0</v>
      </c>
      <c r="Y16" s="13">
        <f>IF(MONTH(DATE(CalYear,12,11))=12,CHOOSE(WEEKDAY(DATE(CalYear,12,11)),"Su","Mo","Tu","We","Th","Fr","Sa"),"")</f>
        <v>0</v>
      </c>
      <c r="Z16" s="15">
        <f>IF(MONTH(DATE(CalYear,12,11))=12,IFERROR(INDEX(Holidays!$B$6:$B$60,MATCH(DATE(CalYear,12,11),Holidays!$C$6:$C$60,0)),""),"")</f>
        <v>0</v>
      </c>
      <c r="AA16" s="12">
        <v>11</v>
      </c>
    </row>
    <row r="17" spans="2:27" ht="22" customHeight="1">
      <c r="B17" s="12">
        <v>12</v>
      </c>
      <c r="C17" s="13">
        <f>IF(MONTH(DATE(CalYear,1,12))=1,CHOOSE(WEEKDAY(DATE(CalYear,1,12)),"Su","Mo","Tu","We","Th","Fr","Sa"),"")</f>
        <v>0</v>
      </c>
      <c r="D17" s="14">
        <f>IF(MONTH(DATE(CalYear,1,12))=1,IFERROR(INDEX(Holidays!$B$6:$B$60,MATCH(DATE(CalYear,1,12),Holidays!$C$6:$C$60,0)),""),"")</f>
        <v>0</v>
      </c>
      <c r="E17" s="13">
        <f>IF(MONTH(DATE(CalYear,2,12))=2,CHOOSE(WEEKDAY(DATE(CalYear,2,12)),"Su","Mo","Tu","We","Th","Fr","Sa"),"")</f>
        <v>0</v>
      </c>
      <c r="F17" s="14">
        <f>IF(MONTH(DATE(CalYear,2,12))=2,IFERROR(INDEX(Holidays!$B$6:$B$60,MATCH(DATE(CalYear,2,12),Holidays!$C$6:$C$60,0)),""),"")</f>
        <v>0</v>
      </c>
      <c r="G17" s="13">
        <f>IF(MONTH(DATE(CalYear,3,12))=3,CHOOSE(WEEKDAY(DATE(CalYear,3,12)),"Su","Mo","Tu","We","Th","Fr","Sa"),"")</f>
        <v>0</v>
      </c>
      <c r="H17" s="14">
        <f>IF(MONTH(DATE(CalYear,3,12))=3,IFERROR(INDEX(Holidays!$B$6:$B$60,MATCH(DATE(CalYear,3,12),Holidays!$C$6:$C$60,0)),""),"")</f>
        <v>0</v>
      </c>
      <c r="I17" s="13">
        <f>IF(MONTH(DATE(CalYear,4,12))=4,CHOOSE(WEEKDAY(DATE(CalYear,4,12)),"Su","Mo","Tu","We","Th","Fr","Sa"),"")</f>
        <v>0</v>
      </c>
      <c r="J17" s="14">
        <f>IF(MONTH(DATE(CalYear,4,12))=4,IFERROR(INDEX(Holidays!$B$6:$B$60,MATCH(DATE(CalYear,4,12),Holidays!$C$6:$C$60,0)),""),"")</f>
        <v>0</v>
      </c>
      <c r="K17" s="13">
        <f>IF(MONTH(DATE(CalYear,5,12))=5,CHOOSE(WEEKDAY(DATE(CalYear,5,12)),"Su","Mo","Tu","We","Th","Fr","Sa"),"")</f>
        <v>0</v>
      </c>
      <c r="L17" s="14">
        <f>IF(MONTH(DATE(CalYear,5,12))=5,IFERROR(INDEX(Holidays!$B$6:$B$60,MATCH(DATE(CalYear,5,12),Holidays!$C$6:$C$60,0)),""),"")</f>
        <v>0</v>
      </c>
      <c r="M17" s="13">
        <f>IF(MONTH(DATE(CalYear,6,12))=6,CHOOSE(WEEKDAY(DATE(CalYear,6,12)),"Su","Mo","Tu","We","Th","Fr","Sa"),"")</f>
        <v>0</v>
      </c>
      <c r="N17" s="14">
        <f>IF(MONTH(DATE(CalYear,6,12))=6,IFERROR(INDEX(Holidays!$B$6:$B$60,MATCH(DATE(CalYear,6,12),Holidays!$C$6:$C$60,0)),""),"")</f>
        <v>0</v>
      </c>
      <c r="O17" s="13">
        <f>IF(MONTH(DATE(CalYear,7,12))=7,CHOOSE(WEEKDAY(DATE(CalYear,7,12)),"Su","Mo","Tu","We","Th","Fr","Sa"),"")</f>
        <v>0</v>
      </c>
      <c r="P17" s="14">
        <f>IF(MONTH(DATE(CalYear,7,12))=7,IFERROR(INDEX(Holidays!$B$6:$B$60,MATCH(DATE(CalYear,7,12),Holidays!$C$6:$C$60,0)),""),"")</f>
        <v>0</v>
      </c>
      <c r="Q17" s="13">
        <f>IF(MONTH(DATE(CalYear,8,12))=8,CHOOSE(WEEKDAY(DATE(CalYear,8,12)),"Su","Mo","Tu","We","Th","Fr","Sa"),"")</f>
        <v>0</v>
      </c>
      <c r="R17" s="14">
        <f>IF(MONTH(DATE(CalYear,8,12))=8,IFERROR(INDEX(Holidays!$B$6:$B$60,MATCH(DATE(CalYear,8,12),Holidays!$C$6:$C$60,0)),""),"")</f>
        <v>0</v>
      </c>
      <c r="S17" s="13">
        <f>IF(MONTH(DATE(CalYear,9,12))=9,CHOOSE(WEEKDAY(DATE(CalYear,9,12)),"Su","Mo","Tu","We","Th","Fr","Sa"),"")</f>
        <v>0</v>
      </c>
      <c r="T17" s="14">
        <f>IF(MONTH(DATE(CalYear,9,12))=9,IFERROR(INDEX(Holidays!$B$6:$B$60,MATCH(DATE(CalYear,9,12),Holidays!$C$6:$C$60,0)),""),"")</f>
        <v>0</v>
      </c>
      <c r="U17" s="13">
        <f>IF(MONTH(DATE(CalYear,10,12))=10,CHOOSE(WEEKDAY(DATE(CalYear,10,12)),"Su","Mo","Tu","We","Th","Fr","Sa"),"")</f>
        <v>0</v>
      </c>
      <c r="V17" s="14">
        <f>IF(MONTH(DATE(CalYear,10,12))=10,IFERROR(INDEX(Holidays!$B$6:$B$60,MATCH(DATE(CalYear,10,12),Holidays!$C$6:$C$60,0)),""),"")</f>
        <v>0</v>
      </c>
      <c r="W17" s="13">
        <f>IF(MONTH(DATE(CalYear,11,12))=11,CHOOSE(WEEKDAY(DATE(CalYear,11,12)),"Su","Mo","Tu","We","Th","Fr","Sa"),"")</f>
        <v>0</v>
      </c>
      <c r="X17" s="14">
        <f>IF(MONTH(DATE(CalYear,11,12))=11,IFERROR(INDEX(Holidays!$B$6:$B$60,MATCH(DATE(CalYear,11,12),Holidays!$C$6:$C$60,0)),""),"")</f>
        <v>0</v>
      </c>
      <c r="Y17" s="13">
        <f>IF(MONTH(DATE(CalYear,12,12))=12,CHOOSE(WEEKDAY(DATE(CalYear,12,12)),"Su","Mo","Tu","We","Th","Fr","Sa"),"")</f>
        <v>0</v>
      </c>
      <c r="Z17" s="15">
        <f>IF(MONTH(DATE(CalYear,12,12))=12,IFERROR(INDEX(Holidays!$B$6:$B$60,MATCH(DATE(CalYear,12,12),Holidays!$C$6:$C$60,0)),""),"")</f>
        <v>0</v>
      </c>
      <c r="AA17" s="12">
        <v>12</v>
      </c>
    </row>
    <row r="18" spans="2:27" ht="22" customHeight="1">
      <c r="B18" s="12">
        <v>13</v>
      </c>
      <c r="C18" s="13">
        <f>IF(MONTH(DATE(CalYear,1,13))=1,CHOOSE(WEEKDAY(DATE(CalYear,1,13)),"Su","Mo","Tu","We","Th","Fr","Sa"),"")</f>
        <v>0</v>
      </c>
      <c r="D18" s="14">
        <f>IF(MONTH(DATE(CalYear,1,13))=1,IFERROR(INDEX(Holidays!$B$6:$B$60,MATCH(DATE(CalYear,1,13),Holidays!$C$6:$C$60,0)),""),"")</f>
        <v>0</v>
      </c>
      <c r="E18" s="13">
        <f>IF(MONTH(DATE(CalYear,2,13))=2,CHOOSE(WEEKDAY(DATE(CalYear,2,13)),"Su","Mo","Tu","We","Th","Fr","Sa"),"")</f>
        <v>0</v>
      </c>
      <c r="F18" s="14">
        <f>IF(MONTH(DATE(CalYear,2,13))=2,IFERROR(INDEX(Holidays!$B$6:$B$60,MATCH(DATE(CalYear,2,13),Holidays!$C$6:$C$60,0)),""),"")</f>
        <v>0</v>
      </c>
      <c r="G18" s="13">
        <f>IF(MONTH(DATE(CalYear,3,13))=3,CHOOSE(WEEKDAY(DATE(CalYear,3,13)),"Su","Mo","Tu","We","Th","Fr","Sa"),"")</f>
        <v>0</v>
      </c>
      <c r="H18" s="14">
        <f>IF(MONTH(DATE(CalYear,3,13))=3,IFERROR(INDEX(Holidays!$B$6:$B$60,MATCH(DATE(CalYear,3,13),Holidays!$C$6:$C$60,0)),""),"")</f>
        <v>0</v>
      </c>
      <c r="I18" s="13">
        <f>IF(MONTH(DATE(CalYear,4,13))=4,CHOOSE(WEEKDAY(DATE(CalYear,4,13)),"Su","Mo","Tu","We","Th","Fr","Sa"),"")</f>
        <v>0</v>
      </c>
      <c r="J18" s="14">
        <f>IF(MONTH(DATE(CalYear,4,13))=4,IFERROR(INDEX(Holidays!$B$6:$B$60,MATCH(DATE(CalYear,4,13),Holidays!$C$6:$C$60,0)),""),"")</f>
        <v>0</v>
      </c>
      <c r="K18" s="13">
        <f>IF(MONTH(DATE(CalYear,5,13))=5,CHOOSE(WEEKDAY(DATE(CalYear,5,13)),"Su","Mo","Tu","We","Th","Fr","Sa"),"")</f>
        <v>0</v>
      </c>
      <c r="L18" s="14">
        <f>IF(MONTH(DATE(CalYear,5,13))=5,IFERROR(INDEX(Holidays!$B$6:$B$60,MATCH(DATE(CalYear,5,13),Holidays!$C$6:$C$60,0)),""),"")</f>
        <v>0</v>
      </c>
      <c r="M18" s="13">
        <f>IF(MONTH(DATE(CalYear,6,13))=6,CHOOSE(WEEKDAY(DATE(CalYear,6,13)),"Su","Mo","Tu","We","Th","Fr","Sa"),"")</f>
        <v>0</v>
      </c>
      <c r="N18" s="14">
        <f>IF(MONTH(DATE(CalYear,6,13))=6,IFERROR(INDEX(Holidays!$B$6:$B$60,MATCH(DATE(CalYear,6,13),Holidays!$C$6:$C$60,0)),""),"")</f>
        <v>0</v>
      </c>
      <c r="O18" s="13">
        <f>IF(MONTH(DATE(CalYear,7,13))=7,CHOOSE(WEEKDAY(DATE(CalYear,7,13)),"Su","Mo","Tu","We","Th","Fr","Sa"),"")</f>
        <v>0</v>
      </c>
      <c r="P18" s="14">
        <f>IF(MONTH(DATE(CalYear,7,13))=7,IFERROR(INDEX(Holidays!$B$6:$B$60,MATCH(DATE(CalYear,7,13),Holidays!$C$6:$C$60,0)),""),"")</f>
        <v>0</v>
      </c>
      <c r="Q18" s="13">
        <f>IF(MONTH(DATE(CalYear,8,13))=8,CHOOSE(WEEKDAY(DATE(CalYear,8,13)),"Su","Mo","Tu","We","Th","Fr","Sa"),"")</f>
        <v>0</v>
      </c>
      <c r="R18" s="14">
        <f>IF(MONTH(DATE(CalYear,8,13))=8,IFERROR(INDEX(Holidays!$B$6:$B$60,MATCH(DATE(CalYear,8,13),Holidays!$C$6:$C$60,0)),""),"")</f>
        <v>0</v>
      </c>
      <c r="S18" s="13">
        <f>IF(MONTH(DATE(CalYear,9,13))=9,CHOOSE(WEEKDAY(DATE(CalYear,9,13)),"Su","Mo","Tu","We","Th","Fr","Sa"),"")</f>
        <v>0</v>
      </c>
      <c r="T18" s="14">
        <f>IF(MONTH(DATE(CalYear,9,13))=9,IFERROR(INDEX(Holidays!$B$6:$B$60,MATCH(DATE(CalYear,9,13),Holidays!$C$6:$C$60,0)),""),"")</f>
        <v>0</v>
      </c>
      <c r="U18" s="13">
        <f>IF(MONTH(DATE(CalYear,10,13))=10,CHOOSE(WEEKDAY(DATE(CalYear,10,13)),"Su","Mo","Tu","We","Th","Fr","Sa"),"")</f>
        <v>0</v>
      </c>
      <c r="V18" s="14">
        <f>IF(MONTH(DATE(CalYear,10,13))=10,IFERROR(INDEX(Holidays!$B$6:$B$60,MATCH(DATE(CalYear,10,13),Holidays!$C$6:$C$60,0)),""),"")</f>
        <v>0</v>
      </c>
      <c r="W18" s="13">
        <f>IF(MONTH(DATE(CalYear,11,13))=11,CHOOSE(WEEKDAY(DATE(CalYear,11,13)),"Su","Mo","Tu","We","Th","Fr","Sa"),"")</f>
        <v>0</v>
      </c>
      <c r="X18" s="14">
        <f>IF(MONTH(DATE(CalYear,11,13))=11,IFERROR(INDEX(Holidays!$B$6:$B$60,MATCH(DATE(CalYear,11,13),Holidays!$C$6:$C$60,0)),""),"")</f>
        <v>0</v>
      </c>
      <c r="Y18" s="13">
        <f>IF(MONTH(DATE(CalYear,12,13))=12,CHOOSE(WEEKDAY(DATE(CalYear,12,13)),"Su","Mo","Tu","We","Th","Fr","Sa"),"")</f>
        <v>0</v>
      </c>
      <c r="Z18" s="15">
        <f>IF(MONTH(DATE(CalYear,12,13))=12,IFERROR(INDEX(Holidays!$B$6:$B$60,MATCH(DATE(CalYear,12,13),Holidays!$C$6:$C$60,0)),""),"")</f>
        <v>0</v>
      </c>
      <c r="AA18" s="12">
        <v>13</v>
      </c>
    </row>
    <row r="19" spans="2:27" ht="22" customHeight="1">
      <c r="B19" s="12">
        <v>14</v>
      </c>
      <c r="C19" s="13">
        <f>IF(MONTH(DATE(CalYear,1,14))=1,CHOOSE(WEEKDAY(DATE(CalYear,1,14)),"Su","Mo","Tu","We","Th","Fr","Sa"),"")</f>
        <v>0</v>
      </c>
      <c r="D19" s="14">
        <f>IF(MONTH(DATE(CalYear,1,14))=1,IFERROR(INDEX(Holidays!$B$6:$B$60,MATCH(DATE(CalYear,1,14),Holidays!$C$6:$C$60,0)),""),"")</f>
        <v>0</v>
      </c>
      <c r="E19" s="13">
        <f>IF(MONTH(DATE(CalYear,2,14))=2,CHOOSE(WEEKDAY(DATE(CalYear,2,14)),"Su","Mo","Tu","We","Th","Fr","Sa"),"")</f>
        <v>0</v>
      </c>
      <c r="F19" s="14">
        <f>IF(MONTH(DATE(CalYear,2,14))=2,IFERROR(INDEX(Holidays!$B$6:$B$60,MATCH(DATE(CalYear,2,14),Holidays!$C$6:$C$60,0)),""),"")</f>
        <v>0</v>
      </c>
      <c r="G19" s="13">
        <f>IF(MONTH(DATE(CalYear,3,14))=3,CHOOSE(WEEKDAY(DATE(CalYear,3,14)),"Su","Mo","Tu","We","Th","Fr","Sa"),"")</f>
        <v>0</v>
      </c>
      <c r="H19" s="14">
        <f>IF(MONTH(DATE(CalYear,3,14))=3,IFERROR(INDEX(Holidays!$B$6:$B$60,MATCH(DATE(CalYear,3,14),Holidays!$C$6:$C$60,0)),""),"")</f>
        <v>0</v>
      </c>
      <c r="I19" s="13">
        <f>IF(MONTH(DATE(CalYear,4,14))=4,CHOOSE(WEEKDAY(DATE(CalYear,4,14)),"Su","Mo","Tu","We","Th","Fr","Sa"),"")</f>
        <v>0</v>
      </c>
      <c r="J19" s="14">
        <f>IF(MONTH(DATE(CalYear,4,14))=4,IFERROR(INDEX(Holidays!$B$6:$B$60,MATCH(DATE(CalYear,4,14),Holidays!$C$6:$C$60,0)),""),"")</f>
        <v>0</v>
      </c>
      <c r="K19" s="13">
        <f>IF(MONTH(DATE(CalYear,5,14))=5,CHOOSE(WEEKDAY(DATE(CalYear,5,14)),"Su","Mo","Tu","We","Th","Fr","Sa"),"")</f>
        <v>0</v>
      </c>
      <c r="L19" s="14">
        <f>IF(MONTH(DATE(CalYear,5,14))=5,IFERROR(INDEX(Holidays!$B$6:$B$60,MATCH(DATE(CalYear,5,14),Holidays!$C$6:$C$60,0)),""),"")</f>
        <v>0</v>
      </c>
      <c r="M19" s="13">
        <f>IF(MONTH(DATE(CalYear,6,14))=6,CHOOSE(WEEKDAY(DATE(CalYear,6,14)),"Su","Mo","Tu","We","Th","Fr","Sa"),"")</f>
        <v>0</v>
      </c>
      <c r="N19" s="14">
        <f>IF(MONTH(DATE(CalYear,6,14))=6,IFERROR(INDEX(Holidays!$B$6:$B$60,MATCH(DATE(CalYear,6,14),Holidays!$C$6:$C$60,0)),""),"")</f>
        <v>0</v>
      </c>
      <c r="O19" s="13">
        <f>IF(MONTH(DATE(CalYear,7,14))=7,CHOOSE(WEEKDAY(DATE(CalYear,7,14)),"Su","Mo","Tu","We","Th","Fr","Sa"),"")</f>
        <v>0</v>
      </c>
      <c r="P19" s="14">
        <f>IF(MONTH(DATE(CalYear,7,14))=7,IFERROR(INDEX(Holidays!$B$6:$B$60,MATCH(DATE(CalYear,7,14),Holidays!$C$6:$C$60,0)),""),"")</f>
        <v>0</v>
      </c>
      <c r="Q19" s="13">
        <f>IF(MONTH(DATE(CalYear,8,14))=8,CHOOSE(WEEKDAY(DATE(CalYear,8,14)),"Su","Mo","Tu","We","Th","Fr","Sa"),"")</f>
        <v>0</v>
      </c>
      <c r="R19" s="14">
        <f>IF(MONTH(DATE(CalYear,8,14))=8,IFERROR(INDEX(Holidays!$B$6:$B$60,MATCH(DATE(CalYear,8,14),Holidays!$C$6:$C$60,0)),""),"")</f>
        <v>0</v>
      </c>
      <c r="S19" s="13">
        <f>IF(MONTH(DATE(CalYear,9,14))=9,CHOOSE(WEEKDAY(DATE(CalYear,9,14)),"Su","Mo","Tu","We","Th","Fr","Sa"),"")</f>
        <v>0</v>
      </c>
      <c r="T19" s="14">
        <f>IF(MONTH(DATE(CalYear,9,14))=9,IFERROR(INDEX(Holidays!$B$6:$B$60,MATCH(DATE(CalYear,9,14),Holidays!$C$6:$C$60,0)),""),"")</f>
        <v>0</v>
      </c>
      <c r="U19" s="13">
        <f>IF(MONTH(DATE(CalYear,10,14))=10,CHOOSE(WEEKDAY(DATE(CalYear,10,14)),"Su","Mo","Tu","We","Th","Fr","Sa"),"")</f>
        <v>0</v>
      </c>
      <c r="V19" s="14">
        <f>IF(MONTH(DATE(CalYear,10,14))=10,IFERROR(INDEX(Holidays!$B$6:$B$60,MATCH(DATE(CalYear,10,14),Holidays!$C$6:$C$60,0)),""),"")</f>
        <v>0</v>
      </c>
      <c r="W19" s="13">
        <f>IF(MONTH(DATE(CalYear,11,14))=11,CHOOSE(WEEKDAY(DATE(CalYear,11,14)),"Su","Mo","Tu","We","Th","Fr","Sa"),"")</f>
        <v>0</v>
      </c>
      <c r="X19" s="14">
        <f>IF(MONTH(DATE(CalYear,11,14))=11,IFERROR(INDEX(Holidays!$B$6:$B$60,MATCH(DATE(CalYear,11,14),Holidays!$C$6:$C$60,0)),""),"")</f>
        <v>0</v>
      </c>
      <c r="Y19" s="13">
        <f>IF(MONTH(DATE(CalYear,12,14))=12,CHOOSE(WEEKDAY(DATE(CalYear,12,14)),"Su","Mo","Tu","We","Th","Fr","Sa"),"")</f>
        <v>0</v>
      </c>
      <c r="Z19" s="15">
        <f>IF(MONTH(DATE(CalYear,12,14))=12,IFERROR(INDEX(Holidays!$B$6:$B$60,MATCH(DATE(CalYear,12,14),Holidays!$C$6:$C$60,0)),""),"")</f>
        <v>0</v>
      </c>
      <c r="AA19" s="12">
        <v>14</v>
      </c>
    </row>
    <row r="20" spans="2:27" ht="22" customHeight="1">
      <c r="B20" s="12">
        <v>15</v>
      </c>
      <c r="C20" s="13">
        <f>IF(MONTH(DATE(CalYear,1,15))=1,CHOOSE(WEEKDAY(DATE(CalYear,1,15)),"Su","Mo","Tu","We","Th","Fr","Sa"),"")</f>
        <v>0</v>
      </c>
      <c r="D20" s="14">
        <f>IF(MONTH(DATE(CalYear,1,15))=1,IFERROR(INDEX(Holidays!$B$6:$B$60,MATCH(DATE(CalYear,1,15),Holidays!$C$6:$C$60,0)),""),"")</f>
        <v>0</v>
      </c>
      <c r="E20" s="13">
        <f>IF(MONTH(DATE(CalYear,2,15))=2,CHOOSE(WEEKDAY(DATE(CalYear,2,15)),"Su","Mo","Tu","We","Th","Fr","Sa"),"")</f>
        <v>0</v>
      </c>
      <c r="F20" s="14">
        <f>IF(MONTH(DATE(CalYear,2,15))=2,IFERROR(INDEX(Holidays!$B$6:$B$60,MATCH(DATE(CalYear,2,15),Holidays!$C$6:$C$60,0)),""),"")</f>
        <v>0</v>
      </c>
      <c r="G20" s="13">
        <f>IF(MONTH(DATE(CalYear,3,15))=3,CHOOSE(WEEKDAY(DATE(CalYear,3,15)),"Su","Mo","Tu","We","Th","Fr","Sa"),"")</f>
        <v>0</v>
      </c>
      <c r="H20" s="14">
        <f>IF(MONTH(DATE(CalYear,3,15))=3,IFERROR(INDEX(Holidays!$B$6:$B$60,MATCH(DATE(CalYear,3,15),Holidays!$C$6:$C$60,0)),""),"")</f>
        <v>0</v>
      </c>
      <c r="I20" s="13">
        <f>IF(MONTH(DATE(CalYear,4,15))=4,CHOOSE(WEEKDAY(DATE(CalYear,4,15)),"Su","Mo","Tu","We","Th","Fr","Sa"),"")</f>
        <v>0</v>
      </c>
      <c r="J20" s="14">
        <f>IF(MONTH(DATE(CalYear,4,15))=4,IFERROR(INDEX(Holidays!$B$6:$B$60,MATCH(DATE(CalYear,4,15),Holidays!$C$6:$C$60,0)),""),"")</f>
        <v>0</v>
      </c>
      <c r="K20" s="13">
        <f>IF(MONTH(DATE(CalYear,5,15))=5,CHOOSE(WEEKDAY(DATE(CalYear,5,15)),"Su","Mo","Tu","We","Th","Fr","Sa"),"")</f>
        <v>0</v>
      </c>
      <c r="L20" s="14">
        <f>IF(MONTH(DATE(CalYear,5,15))=5,IFERROR(INDEX(Holidays!$B$6:$B$60,MATCH(DATE(CalYear,5,15),Holidays!$C$6:$C$60,0)),""),"")</f>
        <v>0</v>
      </c>
      <c r="M20" s="13">
        <f>IF(MONTH(DATE(CalYear,6,15))=6,CHOOSE(WEEKDAY(DATE(CalYear,6,15)),"Su","Mo","Tu","We","Th","Fr","Sa"),"")</f>
        <v>0</v>
      </c>
      <c r="N20" s="14">
        <f>IF(MONTH(DATE(CalYear,6,15))=6,IFERROR(INDEX(Holidays!$B$6:$B$60,MATCH(DATE(CalYear,6,15),Holidays!$C$6:$C$60,0)),""),"")</f>
        <v>0</v>
      </c>
      <c r="O20" s="13">
        <f>IF(MONTH(DATE(CalYear,7,15))=7,CHOOSE(WEEKDAY(DATE(CalYear,7,15)),"Su","Mo","Tu","We","Th","Fr","Sa"),"")</f>
        <v>0</v>
      </c>
      <c r="P20" s="14">
        <f>IF(MONTH(DATE(CalYear,7,15))=7,IFERROR(INDEX(Holidays!$B$6:$B$60,MATCH(DATE(CalYear,7,15),Holidays!$C$6:$C$60,0)),""),"")</f>
        <v>0</v>
      </c>
      <c r="Q20" s="13">
        <f>IF(MONTH(DATE(CalYear,8,15))=8,CHOOSE(WEEKDAY(DATE(CalYear,8,15)),"Su","Mo","Tu","We","Th","Fr","Sa"),"")</f>
        <v>0</v>
      </c>
      <c r="R20" s="14">
        <f>IF(MONTH(DATE(CalYear,8,15))=8,IFERROR(INDEX(Holidays!$B$6:$B$60,MATCH(DATE(CalYear,8,15),Holidays!$C$6:$C$60,0)),""),"")</f>
        <v>0</v>
      </c>
      <c r="S20" s="13">
        <f>IF(MONTH(DATE(CalYear,9,15))=9,CHOOSE(WEEKDAY(DATE(CalYear,9,15)),"Su","Mo","Tu","We","Th","Fr","Sa"),"")</f>
        <v>0</v>
      </c>
      <c r="T20" s="14">
        <f>IF(MONTH(DATE(CalYear,9,15))=9,IFERROR(INDEX(Holidays!$B$6:$B$60,MATCH(DATE(CalYear,9,15),Holidays!$C$6:$C$60,0)),""),"")</f>
        <v>0</v>
      </c>
      <c r="U20" s="13">
        <f>IF(MONTH(DATE(CalYear,10,15))=10,CHOOSE(WEEKDAY(DATE(CalYear,10,15)),"Su","Mo","Tu","We","Th","Fr","Sa"),"")</f>
        <v>0</v>
      </c>
      <c r="V20" s="14">
        <f>IF(MONTH(DATE(CalYear,10,15))=10,IFERROR(INDEX(Holidays!$B$6:$B$60,MATCH(DATE(CalYear,10,15),Holidays!$C$6:$C$60,0)),""),"")</f>
        <v>0</v>
      </c>
      <c r="W20" s="13">
        <f>IF(MONTH(DATE(CalYear,11,15))=11,CHOOSE(WEEKDAY(DATE(CalYear,11,15)),"Su","Mo","Tu","We","Th","Fr","Sa"),"")</f>
        <v>0</v>
      </c>
      <c r="X20" s="14">
        <f>IF(MONTH(DATE(CalYear,11,15))=11,IFERROR(INDEX(Holidays!$B$6:$B$60,MATCH(DATE(CalYear,11,15),Holidays!$C$6:$C$60,0)),""),"")</f>
        <v>0</v>
      </c>
      <c r="Y20" s="13">
        <f>IF(MONTH(DATE(CalYear,12,15))=12,CHOOSE(WEEKDAY(DATE(CalYear,12,15)),"Su","Mo","Tu","We","Th","Fr","Sa"),"")</f>
        <v>0</v>
      </c>
      <c r="Z20" s="15">
        <f>IF(MONTH(DATE(CalYear,12,15))=12,IFERROR(INDEX(Holidays!$B$6:$B$60,MATCH(DATE(CalYear,12,15),Holidays!$C$6:$C$60,0)),""),"")</f>
        <v>0</v>
      </c>
      <c r="AA20" s="12">
        <v>15</v>
      </c>
    </row>
    <row r="21" spans="2:27" ht="22" customHeight="1">
      <c r="B21" s="12">
        <v>16</v>
      </c>
      <c r="C21" s="13">
        <f>IF(MONTH(DATE(CalYear,1,16))=1,CHOOSE(WEEKDAY(DATE(CalYear,1,16)),"Su","Mo","Tu","We","Th","Fr","Sa"),"")</f>
        <v>0</v>
      </c>
      <c r="D21" s="14">
        <f>IF(MONTH(DATE(CalYear,1,16))=1,IFERROR(INDEX(Holidays!$B$6:$B$60,MATCH(DATE(CalYear,1,16),Holidays!$C$6:$C$60,0)),""),"")</f>
        <v>0</v>
      </c>
      <c r="E21" s="13">
        <f>IF(MONTH(DATE(CalYear,2,16))=2,CHOOSE(WEEKDAY(DATE(CalYear,2,16)),"Su","Mo","Tu","We","Th","Fr","Sa"),"")</f>
        <v>0</v>
      </c>
      <c r="F21" s="14">
        <f>IF(MONTH(DATE(CalYear,2,16))=2,IFERROR(INDEX(Holidays!$B$6:$B$60,MATCH(DATE(CalYear,2,16),Holidays!$C$6:$C$60,0)),""),"")</f>
        <v>0</v>
      </c>
      <c r="G21" s="13">
        <f>IF(MONTH(DATE(CalYear,3,16))=3,CHOOSE(WEEKDAY(DATE(CalYear,3,16)),"Su","Mo","Tu","We","Th","Fr","Sa"),"")</f>
        <v>0</v>
      </c>
      <c r="H21" s="14">
        <f>IF(MONTH(DATE(CalYear,3,16))=3,IFERROR(INDEX(Holidays!$B$6:$B$60,MATCH(DATE(CalYear,3,16),Holidays!$C$6:$C$60,0)),""),"")</f>
        <v>0</v>
      </c>
      <c r="I21" s="13">
        <f>IF(MONTH(DATE(CalYear,4,16))=4,CHOOSE(WEEKDAY(DATE(CalYear,4,16)),"Su","Mo","Tu","We","Th","Fr","Sa"),"")</f>
        <v>0</v>
      </c>
      <c r="J21" s="14">
        <f>IF(MONTH(DATE(CalYear,4,16))=4,IFERROR(INDEX(Holidays!$B$6:$B$60,MATCH(DATE(CalYear,4,16),Holidays!$C$6:$C$60,0)),""),"")</f>
        <v>0</v>
      </c>
      <c r="K21" s="13">
        <f>IF(MONTH(DATE(CalYear,5,16))=5,CHOOSE(WEEKDAY(DATE(CalYear,5,16)),"Su","Mo","Tu","We","Th","Fr","Sa"),"")</f>
        <v>0</v>
      </c>
      <c r="L21" s="14">
        <f>IF(MONTH(DATE(CalYear,5,16))=5,IFERROR(INDEX(Holidays!$B$6:$B$60,MATCH(DATE(CalYear,5,16),Holidays!$C$6:$C$60,0)),""),"")</f>
        <v>0</v>
      </c>
      <c r="M21" s="13">
        <f>IF(MONTH(DATE(CalYear,6,16))=6,CHOOSE(WEEKDAY(DATE(CalYear,6,16)),"Su","Mo","Tu","We","Th","Fr","Sa"),"")</f>
        <v>0</v>
      </c>
      <c r="N21" s="14">
        <f>IF(MONTH(DATE(CalYear,6,16))=6,IFERROR(INDEX(Holidays!$B$6:$B$60,MATCH(DATE(CalYear,6,16),Holidays!$C$6:$C$60,0)),""),"")</f>
        <v>0</v>
      </c>
      <c r="O21" s="13">
        <f>IF(MONTH(DATE(CalYear,7,16))=7,CHOOSE(WEEKDAY(DATE(CalYear,7,16)),"Su","Mo","Tu","We","Th","Fr","Sa"),"")</f>
        <v>0</v>
      </c>
      <c r="P21" s="14">
        <f>IF(MONTH(DATE(CalYear,7,16))=7,IFERROR(INDEX(Holidays!$B$6:$B$60,MATCH(DATE(CalYear,7,16),Holidays!$C$6:$C$60,0)),""),"")</f>
        <v>0</v>
      </c>
      <c r="Q21" s="13">
        <f>IF(MONTH(DATE(CalYear,8,16))=8,CHOOSE(WEEKDAY(DATE(CalYear,8,16)),"Su","Mo","Tu","We","Th","Fr","Sa"),"")</f>
        <v>0</v>
      </c>
      <c r="R21" s="14">
        <f>IF(MONTH(DATE(CalYear,8,16))=8,IFERROR(INDEX(Holidays!$B$6:$B$60,MATCH(DATE(CalYear,8,16),Holidays!$C$6:$C$60,0)),""),"")</f>
        <v>0</v>
      </c>
      <c r="S21" s="13">
        <f>IF(MONTH(DATE(CalYear,9,16))=9,CHOOSE(WEEKDAY(DATE(CalYear,9,16)),"Su","Mo","Tu","We","Th","Fr","Sa"),"")</f>
        <v>0</v>
      </c>
      <c r="T21" s="14">
        <f>IF(MONTH(DATE(CalYear,9,16))=9,IFERROR(INDEX(Holidays!$B$6:$B$60,MATCH(DATE(CalYear,9,16),Holidays!$C$6:$C$60,0)),""),"")</f>
        <v>0</v>
      </c>
      <c r="U21" s="13">
        <f>IF(MONTH(DATE(CalYear,10,16))=10,CHOOSE(WEEKDAY(DATE(CalYear,10,16)),"Su","Mo","Tu","We","Th","Fr","Sa"),"")</f>
        <v>0</v>
      </c>
      <c r="V21" s="14">
        <f>IF(MONTH(DATE(CalYear,10,16))=10,IFERROR(INDEX(Holidays!$B$6:$B$60,MATCH(DATE(CalYear,10,16),Holidays!$C$6:$C$60,0)),""),"")</f>
        <v>0</v>
      </c>
      <c r="W21" s="13">
        <f>IF(MONTH(DATE(CalYear,11,16))=11,CHOOSE(WEEKDAY(DATE(CalYear,11,16)),"Su","Mo","Tu","We","Th","Fr","Sa"),"")</f>
        <v>0</v>
      </c>
      <c r="X21" s="14">
        <f>IF(MONTH(DATE(CalYear,11,16))=11,IFERROR(INDEX(Holidays!$B$6:$B$60,MATCH(DATE(CalYear,11,16),Holidays!$C$6:$C$60,0)),""),"")</f>
        <v>0</v>
      </c>
      <c r="Y21" s="13">
        <f>IF(MONTH(DATE(CalYear,12,16))=12,CHOOSE(WEEKDAY(DATE(CalYear,12,16)),"Su","Mo","Tu","We","Th","Fr","Sa"),"")</f>
        <v>0</v>
      </c>
      <c r="Z21" s="15">
        <f>IF(MONTH(DATE(CalYear,12,16))=12,IFERROR(INDEX(Holidays!$B$6:$B$60,MATCH(DATE(CalYear,12,16),Holidays!$C$6:$C$60,0)),""),"")</f>
        <v>0</v>
      </c>
      <c r="AA21" s="12">
        <v>16</v>
      </c>
    </row>
    <row r="22" spans="2:27" ht="22" customHeight="1">
      <c r="B22" s="12">
        <v>17</v>
      </c>
      <c r="C22" s="13">
        <f>IF(MONTH(DATE(CalYear,1,17))=1,CHOOSE(WEEKDAY(DATE(CalYear,1,17)),"Su","Mo","Tu","We","Th","Fr","Sa"),"")</f>
        <v>0</v>
      </c>
      <c r="D22" s="14">
        <f>IF(MONTH(DATE(CalYear,1,17))=1,IFERROR(INDEX(Holidays!$B$6:$B$60,MATCH(DATE(CalYear,1,17),Holidays!$C$6:$C$60,0)),""),"")</f>
        <v>0</v>
      </c>
      <c r="E22" s="13">
        <f>IF(MONTH(DATE(CalYear,2,17))=2,CHOOSE(WEEKDAY(DATE(CalYear,2,17)),"Su","Mo","Tu","We","Th","Fr","Sa"),"")</f>
        <v>0</v>
      </c>
      <c r="F22" s="14">
        <f>IF(MONTH(DATE(CalYear,2,17))=2,IFERROR(INDEX(Holidays!$B$6:$B$60,MATCH(DATE(CalYear,2,17),Holidays!$C$6:$C$60,0)),""),"")</f>
        <v>0</v>
      </c>
      <c r="G22" s="13">
        <f>IF(MONTH(DATE(CalYear,3,17))=3,CHOOSE(WEEKDAY(DATE(CalYear,3,17)),"Su","Mo","Tu","We","Th","Fr","Sa"),"")</f>
        <v>0</v>
      </c>
      <c r="H22" s="14">
        <f>IF(MONTH(DATE(CalYear,3,17))=3,IFERROR(INDEX(Holidays!$B$6:$B$60,MATCH(DATE(CalYear,3,17),Holidays!$C$6:$C$60,0)),""),"")</f>
        <v>0</v>
      </c>
      <c r="I22" s="13">
        <f>IF(MONTH(DATE(CalYear,4,17))=4,CHOOSE(WEEKDAY(DATE(CalYear,4,17)),"Su","Mo","Tu","We","Th","Fr","Sa"),"")</f>
        <v>0</v>
      </c>
      <c r="J22" s="14">
        <f>IF(MONTH(DATE(CalYear,4,17))=4,IFERROR(INDEX(Holidays!$B$6:$B$60,MATCH(DATE(CalYear,4,17),Holidays!$C$6:$C$60,0)),""),"")</f>
        <v>0</v>
      </c>
      <c r="K22" s="13">
        <f>IF(MONTH(DATE(CalYear,5,17))=5,CHOOSE(WEEKDAY(DATE(CalYear,5,17)),"Su","Mo","Tu","We","Th","Fr","Sa"),"")</f>
        <v>0</v>
      </c>
      <c r="L22" s="14">
        <f>IF(MONTH(DATE(CalYear,5,17))=5,IFERROR(INDEX(Holidays!$B$6:$B$60,MATCH(DATE(CalYear,5,17),Holidays!$C$6:$C$60,0)),""),"")</f>
        <v>0</v>
      </c>
      <c r="M22" s="13">
        <f>IF(MONTH(DATE(CalYear,6,17))=6,CHOOSE(WEEKDAY(DATE(CalYear,6,17)),"Su","Mo","Tu","We","Th","Fr","Sa"),"")</f>
        <v>0</v>
      </c>
      <c r="N22" s="14">
        <f>IF(MONTH(DATE(CalYear,6,17))=6,IFERROR(INDEX(Holidays!$B$6:$B$60,MATCH(DATE(CalYear,6,17),Holidays!$C$6:$C$60,0)),""),"")</f>
        <v>0</v>
      </c>
      <c r="O22" s="13">
        <f>IF(MONTH(DATE(CalYear,7,17))=7,CHOOSE(WEEKDAY(DATE(CalYear,7,17)),"Su","Mo","Tu","We","Th","Fr","Sa"),"")</f>
        <v>0</v>
      </c>
      <c r="P22" s="14">
        <f>IF(MONTH(DATE(CalYear,7,17))=7,IFERROR(INDEX(Holidays!$B$6:$B$60,MATCH(DATE(CalYear,7,17),Holidays!$C$6:$C$60,0)),""),"")</f>
        <v>0</v>
      </c>
      <c r="Q22" s="13">
        <f>IF(MONTH(DATE(CalYear,8,17))=8,CHOOSE(WEEKDAY(DATE(CalYear,8,17)),"Su","Mo","Tu","We","Th","Fr","Sa"),"")</f>
        <v>0</v>
      </c>
      <c r="R22" s="14">
        <f>IF(MONTH(DATE(CalYear,8,17))=8,IFERROR(INDEX(Holidays!$B$6:$B$60,MATCH(DATE(CalYear,8,17),Holidays!$C$6:$C$60,0)),""),"")</f>
        <v>0</v>
      </c>
      <c r="S22" s="13">
        <f>IF(MONTH(DATE(CalYear,9,17))=9,CHOOSE(WEEKDAY(DATE(CalYear,9,17)),"Su","Mo","Tu","We","Th","Fr","Sa"),"")</f>
        <v>0</v>
      </c>
      <c r="T22" s="14">
        <f>IF(MONTH(DATE(CalYear,9,17))=9,IFERROR(INDEX(Holidays!$B$6:$B$60,MATCH(DATE(CalYear,9,17),Holidays!$C$6:$C$60,0)),""),"")</f>
        <v>0</v>
      </c>
      <c r="U22" s="13">
        <f>IF(MONTH(DATE(CalYear,10,17))=10,CHOOSE(WEEKDAY(DATE(CalYear,10,17)),"Su","Mo","Tu","We","Th","Fr","Sa"),"")</f>
        <v>0</v>
      </c>
      <c r="V22" s="14">
        <f>IF(MONTH(DATE(CalYear,10,17))=10,IFERROR(INDEX(Holidays!$B$6:$B$60,MATCH(DATE(CalYear,10,17),Holidays!$C$6:$C$60,0)),""),"")</f>
        <v>0</v>
      </c>
      <c r="W22" s="13">
        <f>IF(MONTH(DATE(CalYear,11,17))=11,CHOOSE(WEEKDAY(DATE(CalYear,11,17)),"Su","Mo","Tu","We","Th","Fr","Sa"),"")</f>
        <v>0</v>
      </c>
      <c r="X22" s="14">
        <f>IF(MONTH(DATE(CalYear,11,17))=11,IFERROR(INDEX(Holidays!$B$6:$B$60,MATCH(DATE(CalYear,11,17),Holidays!$C$6:$C$60,0)),""),"")</f>
        <v>0</v>
      </c>
      <c r="Y22" s="13">
        <f>IF(MONTH(DATE(CalYear,12,17))=12,CHOOSE(WEEKDAY(DATE(CalYear,12,17)),"Su","Mo","Tu","We","Th","Fr","Sa"),"")</f>
        <v>0</v>
      </c>
      <c r="Z22" s="15">
        <f>IF(MONTH(DATE(CalYear,12,17))=12,IFERROR(INDEX(Holidays!$B$6:$B$60,MATCH(DATE(CalYear,12,17),Holidays!$C$6:$C$60,0)),""),"")</f>
        <v>0</v>
      </c>
      <c r="AA22" s="12">
        <v>17</v>
      </c>
    </row>
    <row r="23" spans="2:27" ht="22" customHeight="1">
      <c r="B23" s="12">
        <v>18</v>
      </c>
      <c r="C23" s="13">
        <f>IF(MONTH(DATE(CalYear,1,18))=1,CHOOSE(WEEKDAY(DATE(CalYear,1,18)),"Su","Mo","Tu","We","Th","Fr","Sa"),"")</f>
        <v>0</v>
      </c>
      <c r="D23" s="14">
        <f>IF(MONTH(DATE(CalYear,1,18))=1,IFERROR(INDEX(Holidays!$B$6:$B$60,MATCH(DATE(CalYear,1,18),Holidays!$C$6:$C$60,0)),""),"")</f>
        <v>0</v>
      </c>
      <c r="E23" s="13">
        <f>IF(MONTH(DATE(CalYear,2,18))=2,CHOOSE(WEEKDAY(DATE(CalYear,2,18)),"Su","Mo","Tu","We","Th","Fr","Sa"),"")</f>
        <v>0</v>
      </c>
      <c r="F23" s="14">
        <f>IF(MONTH(DATE(CalYear,2,18))=2,IFERROR(INDEX(Holidays!$B$6:$B$60,MATCH(DATE(CalYear,2,18),Holidays!$C$6:$C$60,0)),""),"")</f>
        <v>0</v>
      </c>
      <c r="G23" s="13">
        <f>IF(MONTH(DATE(CalYear,3,18))=3,CHOOSE(WEEKDAY(DATE(CalYear,3,18)),"Su","Mo","Tu","We","Th","Fr","Sa"),"")</f>
        <v>0</v>
      </c>
      <c r="H23" s="14">
        <f>IF(MONTH(DATE(CalYear,3,18))=3,IFERROR(INDEX(Holidays!$B$6:$B$60,MATCH(DATE(CalYear,3,18),Holidays!$C$6:$C$60,0)),""),"")</f>
        <v>0</v>
      </c>
      <c r="I23" s="13">
        <f>IF(MONTH(DATE(CalYear,4,18))=4,CHOOSE(WEEKDAY(DATE(CalYear,4,18)),"Su","Mo","Tu","We","Th","Fr","Sa"),"")</f>
        <v>0</v>
      </c>
      <c r="J23" s="14">
        <f>IF(MONTH(DATE(CalYear,4,18))=4,IFERROR(INDEX(Holidays!$B$6:$B$60,MATCH(DATE(CalYear,4,18),Holidays!$C$6:$C$60,0)),""),"")</f>
        <v>0</v>
      </c>
      <c r="K23" s="13">
        <f>IF(MONTH(DATE(CalYear,5,18))=5,CHOOSE(WEEKDAY(DATE(CalYear,5,18)),"Su","Mo","Tu","We","Th","Fr","Sa"),"")</f>
        <v>0</v>
      </c>
      <c r="L23" s="14">
        <f>IF(MONTH(DATE(CalYear,5,18))=5,IFERROR(INDEX(Holidays!$B$6:$B$60,MATCH(DATE(CalYear,5,18),Holidays!$C$6:$C$60,0)),""),"")</f>
        <v>0</v>
      </c>
      <c r="M23" s="13">
        <f>IF(MONTH(DATE(CalYear,6,18))=6,CHOOSE(WEEKDAY(DATE(CalYear,6,18)),"Su","Mo","Tu","We","Th","Fr","Sa"),"")</f>
        <v>0</v>
      </c>
      <c r="N23" s="14">
        <f>IF(MONTH(DATE(CalYear,6,18))=6,IFERROR(INDEX(Holidays!$B$6:$B$60,MATCH(DATE(CalYear,6,18),Holidays!$C$6:$C$60,0)),""),"")</f>
        <v>0</v>
      </c>
      <c r="O23" s="13">
        <f>IF(MONTH(DATE(CalYear,7,18))=7,CHOOSE(WEEKDAY(DATE(CalYear,7,18)),"Su","Mo","Tu","We","Th","Fr","Sa"),"")</f>
        <v>0</v>
      </c>
      <c r="P23" s="14">
        <f>IF(MONTH(DATE(CalYear,7,18))=7,IFERROR(INDEX(Holidays!$B$6:$B$60,MATCH(DATE(CalYear,7,18),Holidays!$C$6:$C$60,0)),""),"")</f>
        <v>0</v>
      </c>
      <c r="Q23" s="13">
        <f>IF(MONTH(DATE(CalYear,8,18))=8,CHOOSE(WEEKDAY(DATE(CalYear,8,18)),"Su","Mo","Tu","We","Th","Fr","Sa"),"")</f>
        <v>0</v>
      </c>
      <c r="R23" s="14">
        <f>IF(MONTH(DATE(CalYear,8,18))=8,IFERROR(INDEX(Holidays!$B$6:$B$60,MATCH(DATE(CalYear,8,18),Holidays!$C$6:$C$60,0)),""),"")</f>
        <v>0</v>
      </c>
      <c r="S23" s="13">
        <f>IF(MONTH(DATE(CalYear,9,18))=9,CHOOSE(WEEKDAY(DATE(CalYear,9,18)),"Su","Mo","Tu","We","Th","Fr","Sa"),"")</f>
        <v>0</v>
      </c>
      <c r="T23" s="14">
        <f>IF(MONTH(DATE(CalYear,9,18))=9,IFERROR(INDEX(Holidays!$B$6:$B$60,MATCH(DATE(CalYear,9,18),Holidays!$C$6:$C$60,0)),""),"")</f>
        <v>0</v>
      </c>
      <c r="U23" s="13">
        <f>IF(MONTH(DATE(CalYear,10,18))=10,CHOOSE(WEEKDAY(DATE(CalYear,10,18)),"Su","Mo","Tu","We","Th","Fr","Sa"),"")</f>
        <v>0</v>
      </c>
      <c r="V23" s="14">
        <f>IF(MONTH(DATE(CalYear,10,18))=10,IFERROR(INDEX(Holidays!$B$6:$B$60,MATCH(DATE(CalYear,10,18),Holidays!$C$6:$C$60,0)),""),"")</f>
        <v>0</v>
      </c>
      <c r="W23" s="13">
        <f>IF(MONTH(DATE(CalYear,11,18))=11,CHOOSE(WEEKDAY(DATE(CalYear,11,18)),"Su","Mo","Tu","We","Th","Fr","Sa"),"")</f>
        <v>0</v>
      </c>
      <c r="X23" s="14">
        <f>IF(MONTH(DATE(CalYear,11,18))=11,IFERROR(INDEX(Holidays!$B$6:$B$60,MATCH(DATE(CalYear,11,18),Holidays!$C$6:$C$60,0)),""),"")</f>
        <v>0</v>
      </c>
      <c r="Y23" s="13">
        <f>IF(MONTH(DATE(CalYear,12,18))=12,CHOOSE(WEEKDAY(DATE(CalYear,12,18)),"Su","Mo","Tu","We","Th","Fr","Sa"),"")</f>
        <v>0</v>
      </c>
      <c r="Z23" s="15">
        <f>IF(MONTH(DATE(CalYear,12,18))=12,IFERROR(INDEX(Holidays!$B$6:$B$60,MATCH(DATE(CalYear,12,18),Holidays!$C$6:$C$60,0)),""),"")</f>
        <v>0</v>
      </c>
      <c r="AA23" s="12">
        <v>18</v>
      </c>
    </row>
    <row r="24" spans="2:27" ht="22" customHeight="1">
      <c r="B24" s="12">
        <v>19</v>
      </c>
      <c r="C24" s="13">
        <f>IF(MONTH(DATE(CalYear,1,19))=1,CHOOSE(WEEKDAY(DATE(CalYear,1,19)),"Su","Mo","Tu","We","Th","Fr","Sa"),"")</f>
        <v>0</v>
      </c>
      <c r="D24" s="14">
        <f>IF(MONTH(DATE(CalYear,1,19))=1,IFERROR(INDEX(Holidays!$B$6:$B$60,MATCH(DATE(CalYear,1,19),Holidays!$C$6:$C$60,0)),""),"")</f>
        <v>0</v>
      </c>
      <c r="E24" s="13">
        <f>IF(MONTH(DATE(CalYear,2,19))=2,CHOOSE(WEEKDAY(DATE(CalYear,2,19)),"Su","Mo","Tu","We","Th","Fr","Sa"),"")</f>
        <v>0</v>
      </c>
      <c r="F24" s="14">
        <f>IF(MONTH(DATE(CalYear,2,19))=2,IFERROR(INDEX(Holidays!$B$6:$B$60,MATCH(DATE(CalYear,2,19),Holidays!$C$6:$C$60,0)),""),"")</f>
        <v>0</v>
      </c>
      <c r="G24" s="13">
        <f>IF(MONTH(DATE(CalYear,3,19))=3,CHOOSE(WEEKDAY(DATE(CalYear,3,19)),"Su","Mo","Tu","We","Th","Fr","Sa"),"")</f>
        <v>0</v>
      </c>
      <c r="H24" s="14">
        <f>IF(MONTH(DATE(CalYear,3,19))=3,IFERROR(INDEX(Holidays!$B$6:$B$60,MATCH(DATE(CalYear,3,19),Holidays!$C$6:$C$60,0)),""),"")</f>
        <v>0</v>
      </c>
      <c r="I24" s="13">
        <f>IF(MONTH(DATE(CalYear,4,19))=4,CHOOSE(WEEKDAY(DATE(CalYear,4,19)),"Su","Mo","Tu","We","Th","Fr","Sa"),"")</f>
        <v>0</v>
      </c>
      <c r="J24" s="14">
        <f>IF(MONTH(DATE(CalYear,4,19))=4,IFERROR(INDEX(Holidays!$B$6:$B$60,MATCH(DATE(CalYear,4,19),Holidays!$C$6:$C$60,0)),""),"")</f>
        <v>0</v>
      </c>
      <c r="K24" s="13">
        <f>IF(MONTH(DATE(CalYear,5,19))=5,CHOOSE(WEEKDAY(DATE(CalYear,5,19)),"Su","Mo","Tu","We","Th","Fr","Sa"),"")</f>
        <v>0</v>
      </c>
      <c r="L24" s="14">
        <f>IF(MONTH(DATE(CalYear,5,19))=5,IFERROR(INDEX(Holidays!$B$6:$B$60,MATCH(DATE(CalYear,5,19),Holidays!$C$6:$C$60,0)),""),"")</f>
        <v>0</v>
      </c>
      <c r="M24" s="13">
        <f>IF(MONTH(DATE(CalYear,6,19))=6,CHOOSE(WEEKDAY(DATE(CalYear,6,19)),"Su","Mo","Tu","We","Th","Fr","Sa"),"")</f>
        <v>0</v>
      </c>
      <c r="N24" s="14">
        <f>IF(MONTH(DATE(CalYear,6,19))=6,IFERROR(INDEX(Holidays!$B$6:$B$60,MATCH(DATE(CalYear,6,19),Holidays!$C$6:$C$60,0)),""),"")</f>
        <v>0</v>
      </c>
      <c r="O24" s="13">
        <f>IF(MONTH(DATE(CalYear,7,19))=7,CHOOSE(WEEKDAY(DATE(CalYear,7,19)),"Su","Mo","Tu","We","Th","Fr","Sa"),"")</f>
        <v>0</v>
      </c>
      <c r="P24" s="14">
        <f>IF(MONTH(DATE(CalYear,7,19))=7,IFERROR(INDEX(Holidays!$B$6:$B$60,MATCH(DATE(CalYear,7,19),Holidays!$C$6:$C$60,0)),""),"")</f>
        <v>0</v>
      </c>
      <c r="Q24" s="13">
        <f>IF(MONTH(DATE(CalYear,8,19))=8,CHOOSE(WEEKDAY(DATE(CalYear,8,19)),"Su","Mo","Tu","We","Th","Fr","Sa"),"")</f>
        <v>0</v>
      </c>
      <c r="R24" s="14">
        <f>IF(MONTH(DATE(CalYear,8,19))=8,IFERROR(INDEX(Holidays!$B$6:$B$60,MATCH(DATE(CalYear,8,19),Holidays!$C$6:$C$60,0)),""),"")</f>
        <v>0</v>
      </c>
      <c r="S24" s="13">
        <f>IF(MONTH(DATE(CalYear,9,19))=9,CHOOSE(WEEKDAY(DATE(CalYear,9,19)),"Su","Mo","Tu","We","Th","Fr","Sa"),"")</f>
        <v>0</v>
      </c>
      <c r="T24" s="14">
        <f>IF(MONTH(DATE(CalYear,9,19))=9,IFERROR(INDEX(Holidays!$B$6:$B$60,MATCH(DATE(CalYear,9,19),Holidays!$C$6:$C$60,0)),""),"")</f>
        <v>0</v>
      </c>
      <c r="U24" s="13">
        <f>IF(MONTH(DATE(CalYear,10,19))=10,CHOOSE(WEEKDAY(DATE(CalYear,10,19)),"Su","Mo","Tu","We","Th","Fr","Sa"),"")</f>
        <v>0</v>
      </c>
      <c r="V24" s="14">
        <f>IF(MONTH(DATE(CalYear,10,19))=10,IFERROR(INDEX(Holidays!$B$6:$B$60,MATCH(DATE(CalYear,10,19),Holidays!$C$6:$C$60,0)),""),"")</f>
        <v>0</v>
      </c>
      <c r="W24" s="13">
        <f>IF(MONTH(DATE(CalYear,11,19))=11,CHOOSE(WEEKDAY(DATE(CalYear,11,19)),"Su","Mo","Tu","We","Th","Fr","Sa"),"")</f>
        <v>0</v>
      </c>
      <c r="X24" s="14">
        <f>IF(MONTH(DATE(CalYear,11,19))=11,IFERROR(INDEX(Holidays!$B$6:$B$60,MATCH(DATE(CalYear,11,19),Holidays!$C$6:$C$60,0)),""),"")</f>
        <v>0</v>
      </c>
      <c r="Y24" s="13">
        <f>IF(MONTH(DATE(CalYear,12,19))=12,CHOOSE(WEEKDAY(DATE(CalYear,12,19)),"Su","Mo","Tu","We","Th","Fr","Sa"),"")</f>
        <v>0</v>
      </c>
      <c r="Z24" s="15">
        <f>IF(MONTH(DATE(CalYear,12,19))=12,IFERROR(INDEX(Holidays!$B$6:$B$60,MATCH(DATE(CalYear,12,19),Holidays!$C$6:$C$60,0)),""),"")</f>
        <v>0</v>
      </c>
      <c r="AA24" s="12">
        <v>19</v>
      </c>
    </row>
    <row r="25" spans="2:27" ht="22" customHeight="1">
      <c r="B25" s="12">
        <v>20</v>
      </c>
      <c r="C25" s="13">
        <f>IF(MONTH(DATE(CalYear,1,20))=1,CHOOSE(WEEKDAY(DATE(CalYear,1,20)),"Su","Mo","Tu","We","Th","Fr","Sa"),"")</f>
        <v>0</v>
      </c>
      <c r="D25" s="14">
        <f>IF(MONTH(DATE(CalYear,1,20))=1,IFERROR(INDEX(Holidays!$B$6:$B$60,MATCH(DATE(CalYear,1,20),Holidays!$C$6:$C$60,0)),""),"")</f>
        <v>0</v>
      </c>
      <c r="E25" s="13">
        <f>IF(MONTH(DATE(CalYear,2,20))=2,CHOOSE(WEEKDAY(DATE(CalYear,2,20)),"Su","Mo","Tu","We","Th","Fr","Sa"),"")</f>
        <v>0</v>
      </c>
      <c r="F25" s="14">
        <f>IF(MONTH(DATE(CalYear,2,20))=2,IFERROR(INDEX(Holidays!$B$6:$B$60,MATCH(DATE(CalYear,2,20),Holidays!$C$6:$C$60,0)),""),"")</f>
        <v>0</v>
      </c>
      <c r="G25" s="13">
        <f>IF(MONTH(DATE(CalYear,3,20))=3,CHOOSE(WEEKDAY(DATE(CalYear,3,20)),"Su","Mo","Tu","We","Th","Fr","Sa"),"")</f>
        <v>0</v>
      </c>
      <c r="H25" s="14">
        <f>IF(MONTH(DATE(CalYear,3,20))=3,IFERROR(INDEX(Holidays!$B$6:$B$60,MATCH(DATE(CalYear,3,20),Holidays!$C$6:$C$60,0)),""),"")</f>
        <v>0</v>
      </c>
      <c r="I25" s="13">
        <f>IF(MONTH(DATE(CalYear,4,20))=4,CHOOSE(WEEKDAY(DATE(CalYear,4,20)),"Su","Mo","Tu","We","Th","Fr","Sa"),"")</f>
        <v>0</v>
      </c>
      <c r="J25" s="14">
        <f>IF(MONTH(DATE(CalYear,4,20))=4,IFERROR(INDEX(Holidays!$B$6:$B$60,MATCH(DATE(CalYear,4,20),Holidays!$C$6:$C$60,0)),""),"")</f>
        <v>0</v>
      </c>
      <c r="K25" s="13">
        <f>IF(MONTH(DATE(CalYear,5,20))=5,CHOOSE(WEEKDAY(DATE(CalYear,5,20)),"Su","Mo","Tu","We","Th","Fr","Sa"),"")</f>
        <v>0</v>
      </c>
      <c r="L25" s="14">
        <f>IF(MONTH(DATE(CalYear,5,20))=5,IFERROR(INDEX(Holidays!$B$6:$B$60,MATCH(DATE(CalYear,5,20),Holidays!$C$6:$C$60,0)),""),"")</f>
        <v>0</v>
      </c>
      <c r="M25" s="13">
        <f>IF(MONTH(DATE(CalYear,6,20))=6,CHOOSE(WEEKDAY(DATE(CalYear,6,20)),"Su","Mo","Tu","We","Th","Fr","Sa"),"")</f>
        <v>0</v>
      </c>
      <c r="N25" s="14">
        <f>IF(MONTH(DATE(CalYear,6,20))=6,IFERROR(INDEX(Holidays!$B$6:$B$60,MATCH(DATE(CalYear,6,20),Holidays!$C$6:$C$60,0)),""),"")</f>
        <v>0</v>
      </c>
      <c r="O25" s="13">
        <f>IF(MONTH(DATE(CalYear,7,20))=7,CHOOSE(WEEKDAY(DATE(CalYear,7,20)),"Su","Mo","Tu","We","Th","Fr","Sa"),"")</f>
        <v>0</v>
      </c>
      <c r="P25" s="14">
        <f>IF(MONTH(DATE(CalYear,7,20))=7,IFERROR(INDEX(Holidays!$B$6:$B$60,MATCH(DATE(CalYear,7,20),Holidays!$C$6:$C$60,0)),""),"")</f>
        <v>0</v>
      </c>
      <c r="Q25" s="13">
        <f>IF(MONTH(DATE(CalYear,8,20))=8,CHOOSE(WEEKDAY(DATE(CalYear,8,20)),"Su","Mo","Tu","We","Th","Fr","Sa"),"")</f>
        <v>0</v>
      </c>
      <c r="R25" s="14">
        <f>IF(MONTH(DATE(CalYear,8,20))=8,IFERROR(INDEX(Holidays!$B$6:$B$60,MATCH(DATE(CalYear,8,20),Holidays!$C$6:$C$60,0)),""),"")</f>
        <v>0</v>
      </c>
      <c r="S25" s="13">
        <f>IF(MONTH(DATE(CalYear,9,20))=9,CHOOSE(WEEKDAY(DATE(CalYear,9,20)),"Su","Mo","Tu","We","Th","Fr","Sa"),"")</f>
        <v>0</v>
      </c>
      <c r="T25" s="14">
        <f>IF(MONTH(DATE(CalYear,9,20))=9,IFERROR(INDEX(Holidays!$B$6:$B$60,MATCH(DATE(CalYear,9,20),Holidays!$C$6:$C$60,0)),""),"")</f>
        <v>0</v>
      </c>
      <c r="U25" s="13">
        <f>IF(MONTH(DATE(CalYear,10,20))=10,CHOOSE(WEEKDAY(DATE(CalYear,10,20)),"Su","Mo","Tu","We","Th","Fr","Sa"),"")</f>
        <v>0</v>
      </c>
      <c r="V25" s="14">
        <f>IF(MONTH(DATE(CalYear,10,20))=10,IFERROR(INDEX(Holidays!$B$6:$B$60,MATCH(DATE(CalYear,10,20),Holidays!$C$6:$C$60,0)),""),"")</f>
        <v>0</v>
      </c>
      <c r="W25" s="13">
        <f>IF(MONTH(DATE(CalYear,11,20))=11,CHOOSE(WEEKDAY(DATE(CalYear,11,20)),"Su","Mo","Tu","We","Th","Fr","Sa"),"")</f>
        <v>0</v>
      </c>
      <c r="X25" s="14">
        <f>IF(MONTH(DATE(CalYear,11,20))=11,IFERROR(INDEX(Holidays!$B$6:$B$60,MATCH(DATE(CalYear,11,20),Holidays!$C$6:$C$60,0)),""),"")</f>
        <v>0</v>
      </c>
      <c r="Y25" s="13">
        <f>IF(MONTH(DATE(CalYear,12,20))=12,CHOOSE(WEEKDAY(DATE(CalYear,12,20)),"Su","Mo","Tu","We","Th","Fr","Sa"),"")</f>
        <v>0</v>
      </c>
      <c r="Z25" s="15">
        <f>IF(MONTH(DATE(CalYear,12,20))=12,IFERROR(INDEX(Holidays!$B$6:$B$60,MATCH(DATE(CalYear,12,20),Holidays!$C$6:$C$60,0)),""),"")</f>
        <v>0</v>
      </c>
      <c r="AA25" s="12">
        <v>20</v>
      </c>
    </row>
    <row r="26" spans="2:27" ht="22" customHeight="1">
      <c r="B26" s="12">
        <v>21</v>
      </c>
      <c r="C26" s="13">
        <f>IF(MONTH(DATE(CalYear,1,21))=1,CHOOSE(WEEKDAY(DATE(CalYear,1,21)),"Su","Mo","Tu","We","Th","Fr","Sa"),"")</f>
        <v>0</v>
      </c>
      <c r="D26" s="14">
        <f>IF(MONTH(DATE(CalYear,1,21))=1,IFERROR(INDEX(Holidays!$B$6:$B$60,MATCH(DATE(CalYear,1,21),Holidays!$C$6:$C$60,0)),""),"")</f>
        <v>0</v>
      </c>
      <c r="E26" s="13">
        <f>IF(MONTH(DATE(CalYear,2,21))=2,CHOOSE(WEEKDAY(DATE(CalYear,2,21)),"Su","Mo","Tu","We","Th","Fr","Sa"),"")</f>
        <v>0</v>
      </c>
      <c r="F26" s="14">
        <f>IF(MONTH(DATE(CalYear,2,21))=2,IFERROR(INDEX(Holidays!$B$6:$B$60,MATCH(DATE(CalYear,2,21),Holidays!$C$6:$C$60,0)),""),"")</f>
        <v>0</v>
      </c>
      <c r="G26" s="13">
        <f>IF(MONTH(DATE(CalYear,3,21))=3,CHOOSE(WEEKDAY(DATE(CalYear,3,21)),"Su","Mo","Tu","We","Th","Fr","Sa"),"")</f>
        <v>0</v>
      </c>
      <c r="H26" s="14">
        <f>IF(MONTH(DATE(CalYear,3,21))=3,IFERROR(INDEX(Holidays!$B$6:$B$60,MATCH(DATE(CalYear,3,21),Holidays!$C$6:$C$60,0)),""),"")</f>
        <v>0</v>
      </c>
      <c r="I26" s="13">
        <f>IF(MONTH(DATE(CalYear,4,21))=4,CHOOSE(WEEKDAY(DATE(CalYear,4,21)),"Su","Mo","Tu","We","Th","Fr","Sa"),"")</f>
        <v>0</v>
      </c>
      <c r="J26" s="14">
        <f>IF(MONTH(DATE(CalYear,4,21))=4,IFERROR(INDEX(Holidays!$B$6:$B$60,MATCH(DATE(CalYear,4,21),Holidays!$C$6:$C$60,0)),""),"")</f>
        <v>0</v>
      </c>
      <c r="K26" s="13">
        <f>IF(MONTH(DATE(CalYear,5,21))=5,CHOOSE(WEEKDAY(DATE(CalYear,5,21)),"Su","Mo","Tu","We","Th","Fr","Sa"),"")</f>
        <v>0</v>
      </c>
      <c r="L26" s="14">
        <f>IF(MONTH(DATE(CalYear,5,21))=5,IFERROR(INDEX(Holidays!$B$6:$B$60,MATCH(DATE(CalYear,5,21),Holidays!$C$6:$C$60,0)),""),"")</f>
        <v>0</v>
      </c>
      <c r="M26" s="13">
        <f>IF(MONTH(DATE(CalYear,6,21))=6,CHOOSE(WEEKDAY(DATE(CalYear,6,21)),"Su","Mo","Tu","We","Th","Fr","Sa"),"")</f>
        <v>0</v>
      </c>
      <c r="N26" s="14">
        <f>IF(MONTH(DATE(CalYear,6,21))=6,IFERROR(INDEX(Holidays!$B$6:$B$60,MATCH(DATE(CalYear,6,21),Holidays!$C$6:$C$60,0)),""),"")</f>
        <v>0</v>
      </c>
      <c r="O26" s="13">
        <f>IF(MONTH(DATE(CalYear,7,21))=7,CHOOSE(WEEKDAY(DATE(CalYear,7,21)),"Su","Mo","Tu","We","Th","Fr","Sa"),"")</f>
        <v>0</v>
      </c>
      <c r="P26" s="14">
        <f>IF(MONTH(DATE(CalYear,7,21))=7,IFERROR(INDEX(Holidays!$B$6:$B$60,MATCH(DATE(CalYear,7,21),Holidays!$C$6:$C$60,0)),""),"")</f>
        <v>0</v>
      </c>
      <c r="Q26" s="13">
        <f>IF(MONTH(DATE(CalYear,8,21))=8,CHOOSE(WEEKDAY(DATE(CalYear,8,21)),"Su","Mo","Tu","We","Th","Fr","Sa"),"")</f>
        <v>0</v>
      </c>
      <c r="R26" s="14">
        <f>IF(MONTH(DATE(CalYear,8,21))=8,IFERROR(INDEX(Holidays!$B$6:$B$60,MATCH(DATE(CalYear,8,21),Holidays!$C$6:$C$60,0)),""),"")</f>
        <v>0</v>
      </c>
      <c r="S26" s="13">
        <f>IF(MONTH(DATE(CalYear,9,21))=9,CHOOSE(WEEKDAY(DATE(CalYear,9,21)),"Su","Mo","Tu","We","Th","Fr","Sa"),"")</f>
        <v>0</v>
      </c>
      <c r="T26" s="14">
        <f>IF(MONTH(DATE(CalYear,9,21))=9,IFERROR(INDEX(Holidays!$B$6:$B$60,MATCH(DATE(CalYear,9,21),Holidays!$C$6:$C$60,0)),""),"")</f>
        <v>0</v>
      </c>
      <c r="U26" s="13">
        <f>IF(MONTH(DATE(CalYear,10,21))=10,CHOOSE(WEEKDAY(DATE(CalYear,10,21)),"Su","Mo","Tu","We","Th","Fr","Sa"),"")</f>
        <v>0</v>
      </c>
      <c r="V26" s="14">
        <f>IF(MONTH(DATE(CalYear,10,21))=10,IFERROR(INDEX(Holidays!$B$6:$B$60,MATCH(DATE(CalYear,10,21),Holidays!$C$6:$C$60,0)),""),"")</f>
        <v>0</v>
      </c>
      <c r="W26" s="13">
        <f>IF(MONTH(DATE(CalYear,11,21))=11,CHOOSE(WEEKDAY(DATE(CalYear,11,21)),"Su","Mo","Tu","We","Th","Fr","Sa"),"")</f>
        <v>0</v>
      </c>
      <c r="X26" s="14">
        <f>IF(MONTH(DATE(CalYear,11,21))=11,IFERROR(INDEX(Holidays!$B$6:$B$60,MATCH(DATE(CalYear,11,21),Holidays!$C$6:$C$60,0)),""),"")</f>
        <v>0</v>
      </c>
      <c r="Y26" s="13">
        <f>IF(MONTH(DATE(CalYear,12,21))=12,CHOOSE(WEEKDAY(DATE(CalYear,12,21)),"Su","Mo","Tu","We","Th","Fr","Sa"),"")</f>
        <v>0</v>
      </c>
      <c r="Z26" s="15">
        <f>IF(MONTH(DATE(CalYear,12,21))=12,IFERROR(INDEX(Holidays!$B$6:$B$60,MATCH(DATE(CalYear,12,21),Holidays!$C$6:$C$60,0)),""),"")</f>
        <v>0</v>
      </c>
      <c r="AA26" s="12">
        <v>21</v>
      </c>
    </row>
    <row r="27" spans="2:27" ht="22" customHeight="1">
      <c r="B27" s="12">
        <v>22</v>
      </c>
      <c r="C27" s="13">
        <f>IF(MONTH(DATE(CalYear,1,22))=1,CHOOSE(WEEKDAY(DATE(CalYear,1,22)),"Su","Mo","Tu","We","Th","Fr","Sa"),"")</f>
        <v>0</v>
      </c>
      <c r="D27" s="14">
        <f>IF(MONTH(DATE(CalYear,1,22))=1,IFERROR(INDEX(Holidays!$B$6:$B$60,MATCH(DATE(CalYear,1,22),Holidays!$C$6:$C$60,0)),""),"")</f>
        <v>0</v>
      </c>
      <c r="E27" s="13">
        <f>IF(MONTH(DATE(CalYear,2,22))=2,CHOOSE(WEEKDAY(DATE(CalYear,2,22)),"Su","Mo","Tu","We","Th","Fr","Sa"),"")</f>
        <v>0</v>
      </c>
      <c r="F27" s="14">
        <f>IF(MONTH(DATE(CalYear,2,22))=2,IFERROR(INDEX(Holidays!$B$6:$B$60,MATCH(DATE(CalYear,2,22),Holidays!$C$6:$C$60,0)),""),"")</f>
        <v>0</v>
      </c>
      <c r="G27" s="13">
        <f>IF(MONTH(DATE(CalYear,3,22))=3,CHOOSE(WEEKDAY(DATE(CalYear,3,22)),"Su","Mo","Tu","We","Th","Fr","Sa"),"")</f>
        <v>0</v>
      </c>
      <c r="H27" s="14">
        <f>IF(MONTH(DATE(CalYear,3,22))=3,IFERROR(INDEX(Holidays!$B$6:$B$60,MATCH(DATE(CalYear,3,22),Holidays!$C$6:$C$60,0)),""),"")</f>
        <v>0</v>
      </c>
      <c r="I27" s="13">
        <f>IF(MONTH(DATE(CalYear,4,22))=4,CHOOSE(WEEKDAY(DATE(CalYear,4,22)),"Su","Mo","Tu","We","Th","Fr","Sa"),"")</f>
        <v>0</v>
      </c>
      <c r="J27" s="14">
        <f>IF(MONTH(DATE(CalYear,4,22))=4,IFERROR(INDEX(Holidays!$B$6:$B$60,MATCH(DATE(CalYear,4,22),Holidays!$C$6:$C$60,0)),""),"")</f>
        <v>0</v>
      </c>
      <c r="K27" s="13">
        <f>IF(MONTH(DATE(CalYear,5,22))=5,CHOOSE(WEEKDAY(DATE(CalYear,5,22)),"Su","Mo","Tu","We","Th","Fr","Sa"),"")</f>
        <v>0</v>
      </c>
      <c r="L27" s="14">
        <f>IF(MONTH(DATE(CalYear,5,22))=5,IFERROR(INDEX(Holidays!$B$6:$B$60,MATCH(DATE(CalYear,5,22),Holidays!$C$6:$C$60,0)),""),"")</f>
        <v>0</v>
      </c>
      <c r="M27" s="13">
        <f>IF(MONTH(DATE(CalYear,6,22))=6,CHOOSE(WEEKDAY(DATE(CalYear,6,22)),"Su","Mo","Tu","We","Th","Fr","Sa"),"")</f>
        <v>0</v>
      </c>
      <c r="N27" s="14">
        <f>IF(MONTH(DATE(CalYear,6,22))=6,IFERROR(INDEX(Holidays!$B$6:$B$60,MATCH(DATE(CalYear,6,22),Holidays!$C$6:$C$60,0)),""),"")</f>
        <v>0</v>
      </c>
      <c r="O27" s="13">
        <f>IF(MONTH(DATE(CalYear,7,22))=7,CHOOSE(WEEKDAY(DATE(CalYear,7,22)),"Su","Mo","Tu","We","Th","Fr","Sa"),"")</f>
        <v>0</v>
      </c>
      <c r="P27" s="14">
        <f>IF(MONTH(DATE(CalYear,7,22))=7,IFERROR(INDEX(Holidays!$B$6:$B$60,MATCH(DATE(CalYear,7,22),Holidays!$C$6:$C$60,0)),""),"")</f>
        <v>0</v>
      </c>
      <c r="Q27" s="13">
        <f>IF(MONTH(DATE(CalYear,8,22))=8,CHOOSE(WEEKDAY(DATE(CalYear,8,22)),"Su","Mo","Tu","We","Th","Fr","Sa"),"")</f>
        <v>0</v>
      </c>
      <c r="R27" s="14">
        <f>IF(MONTH(DATE(CalYear,8,22))=8,IFERROR(INDEX(Holidays!$B$6:$B$60,MATCH(DATE(CalYear,8,22),Holidays!$C$6:$C$60,0)),""),"")</f>
        <v>0</v>
      </c>
      <c r="S27" s="13">
        <f>IF(MONTH(DATE(CalYear,9,22))=9,CHOOSE(WEEKDAY(DATE(CalYear,9,22)),"Su","Mo","Tu","We","Th","Fr","Sa"),"")</f>
        <v>0</v>
      </c>
      <c r="T27" s="14">
        <f>IF(MONTH(DATE(CalYear,9,22))=9,IFERROR(INDEX(Holidays!$B$6:$B$60,MATCH(DATE(CalYear,9,22),Holidays!$C$6:$C$60,0)),""),"")</f>
        <v>0</v>
      </c>
      <c r="U27" s="13">
        <f>IF(MONTH(DATE(CalYear,10,22))=10,CHOOSE(WEEKDAY(DATE(CalYear,10,22)),"Su","Mo","Tu","We","Th","Fr","Sa"),"")</f>
        <v>0</v>
      </c>
      <c r="V27" s="14">
        <f>IF(MONTH(DATE(CalYear,10,22))=10,IFERROR(INDEX(Holidays!$B$6:$B$60,MATCH(DATE(CalYear,10,22),Holidays!$C$6:$C$60,0)),""),"")</f>
        <v>0</v>
      </c>
      <c r="W27" s="13">
        <f>IF(MONTH(DATE(CalYear,11,22))=11,CHOOSE(WEEKDAY(DATE(CalYear,11,22)),"Su","Mo","Tu","We","Th","Fr","Sa"),"")</f>
        <v>0</v>
      </c>
      <c r="X27" s="14">
        <f>IF(MONTH(DATE(CalYear,11,22))=11,IFERROR(INDEX(Holidays!$B$6:$B$60,MATCH(DATE(CalYear,11,22),Holidays!$C$6:$C$60,0)),""),"")</f>
        <v>0</v>
      </c>
      <c r="Y27" s="13">
        <f>IF(MONTH(DATE(CalYear,12,22))=12,CHOOSE(WEEKDAY(DATE(CalYear,12,22)),"Su","Mo","Tu","We","Th","Fr","Sa"),"")</f>
        <v>0</v>
      </c>
      <c r="Z27" s="15">
        <f>IF(MONTH(DATE(CalYear,12,22))=12,IFERROR(INDEX(Holidays!$B$6:$B$60,MATCH(DATE(CalYear,12,22),Holidays!$C$6:$C$60,0)),""),"")</f>
        <v>0</v>
      </c>
      <c r="AA27" s="12">
        <v>22</v>
      </c>
    </row>
    <row r="28" spans="2:27" ht="22" customHeight="1">
      <c r="B28" s="12">
        <v>23</v>
      </c>
      <c r="C28" s="13">
        <f>IF(MONTH(DATE(CalYear,1,23))=1,CHOOSE(WEEKDAY(DATE(CalYear,1,23)),"Su","Mo","Tu","We","Th","Fr","Sa"),"")</f>
        <v>0</v>
      </c>
      <c r="D28" s="14">
        <f>IF(MONTH(DATE(CalYear,1,23))=1,IFERROR(INDEX(Holidays!$B$6:$B$60,MATCH(DATE(CalYear,1,23),Holidays!$C$6:$C$60,0)),""),"")</f>
        <v>0</v>
      </c>
      <c r="E28" s="13">
        <f>IF(MONTH(DATE(CalYear,2,23))=2,CHOOSE(WEEKDAY(DATE(CalYear,2,23)),"Su","Mo","Tu","We","Th","Fr","Sa"),"")</f>
        <v>0</v>
      </c>
      <c r="F28" s="14">
        <f>IF(MONTH(DATE(CalYear,2,23))=2,IFERROR(INDEX(Holidays!$B$6:$B$60,MATCH(DATE(CalYear,2,23),Holidays!$C$6:$C$60,0)),""),"")</f>
        <v>0</v>
      </c>
      <c r="G28" s="13">
        <f>IF(MONTH(DATE(CalYear,3,23))=3,CHOOSE(WEEKDAY(DATE(CalYear,3,23)),"Su","Mo","Tu","We","Th","Fr","Sa"),"")</f>
        <v>0</v>
      </c>
      <c r="H28" s="14">
        <f>IF(MONTH(DATE(CalYear,3,23))=3,IFERROR(INDEX(Holidays!$B$6:$B$60,MATCH(DATE(CalYear,3,23),Holidays!$C$6:$C$60,0)),""),"")</f>
        <v>0</v>
      </c>
      <c r="I28" s="13">
        <f>IF(MONTH(DATE(CalYear,4,23))=4,CHOOSE(WEEKDAY(DATE(CalYear,4,23)),"Su","Mo","Tu","We","Th","Fr","Sa"),"")</f>
        <v>0</v>
      </c>
      <c r="J28" s="14">
        <f>IF(MONTH(DATE(CalYear,4,23))=4,IFERROR(INDEX(Holidays!$B$6:$B$60,MATCH(DATE(CalYear,4,23),Holidays!$C$6:$C$60,0)),""),"")</f>
        <v>0</v>
      </c>
      <c r="K28" s="13">
        <f>IF(MONTH(DATE(CalYear,5,23))=5,CHOOSE(WEEKDAY(DATE(CalYear,5,23)),"Su","Mo","Tu","We","Th","Fr","Sa"),"")</f>
        <v>0</v>
      </c>
      <c r="L28" s="14">
        <f>IF(MONTH(DATE(CalYear,5,23))=5,IFERROR(INDEX(Holidays!$B$6:$B$60,MATCH(DATE(CalYear,5,23),Holidays!$C$6:$C$60,0)),""),"")</f>
        <v>0</v>
      </c>
      <c r="M28" s="13">
        <f>IF(MONTH(DATE(CalYear,6,23))=6,CHOOSE(WEEKDAY(DATE(CalYear,6,23)),"Su","Mo","Tu","We","Th","Fr","Sa"),"")</f>
        <v>0</v>
      </c>
      <c r="N28" s="14">
        <f>IF(MONTH(DATE(CalYear,6,23))=6,IFERROR(INDEX(Holidays!$B$6:$B$60,MATCH(DATE(CalYear,6,23),Holidays!$C$6:$C$60,0)),""),"")</f>
        <v>0</v>
      </c>
      <c r="O28" s="13">
        <f>IF(MONTH(DATE(CalYear,7,23))=7,CHOOSE(WEEKDAY(DATE(CalYear,7,23)),"Su","Mo","Tu","We","Th","Fr","Sa"),"")</f>
        <v>0</v>
      </c>
      <c r="P28" s="14">
        <f>IF(MONTH(DATE(CalYear,7,23))=7,IFERROR(INDEX(Holidays!$B$6:$B$60,MATCH(DATE(CalYear,7,23),Holidays!$C$6:$C$60,0)),""),"")</f>
        <v>0</v>
      </c>
      <c r="Q28" s="13">
        <f>IF(MONTH(DATE(CalYear,8,23))=8,CHOOSE(WEEKDAY(DATE(CalYear,8,23)),"Su","Mo","Tu","We","Th","Fr","Sa"),"")</f>
        <v>0</v>
      </c>
      <c r="R28" s="14">
        <f>IF(MONTH(DATE(CalYear,8,23))=8,IFERROR(INDEX(Holidays!$B$6:$B$60,MATCH(DATE(CalYear,8,23),Holidays!$C$6:$C$60,0)),""),"")</f>
        <v>0</v>
      </c>
      <c r="S28" s="13">
        <f>IF(MONTH(DATE(CalYear,9,23))=9,CHOOSE(WEEKDAY(DATE(CalYear,9,23)),"Su","Mo","Tu","We","Th","Fr","Sa"),"")</f>
        <v>0</v>
      </c>
      <c r="T28" s="14">
        <f>IF(MONTH(DATE(CalYear,9,23))=9,IFERROR(INDEX(Holidays!$B$6:$B$60,MATCH(DATE(CalYear,9,23),Holidays!$C$6:$C$60,0)),""),"")</f>
        <v>0</v>
      </c>
      <c r="U28" s="13">
        <f>IF(MONTH(DATE(CalYear,10,23))=10,CHOOSE(WEEKDAY(DATE(CalYear,10,23)),"Su","Mo","Tu","We","Th","Fr","Sa"),"")</f>
        <v>0</v>
      </c>
      <c r="V28" s="14">
        <f>IF(MONTH(DATE(CalYear,10,23))=10,IFERROR(INDEX(Holidays!$B$6:$B$60,MATCH(DATE(CalYear,10,23),Holidays!$C$6:$C$60,0)),""),"")</f>
        <v>0</v>
      </c>
      <c r="W28" s="13">
        <f>IF(MONTH(DATE(CalYear,11,23))=11,CHOOSE(WEEKDAY(DATE(CalYear,11,23)),"Su","Mo","Tu","We","Th","Fr","Sa"),"")</f>
        <v>0</v>
      </c>
      <c r="X28" s="14">
        <f>IF(MONTH(DATE(CalYear,11,23))=11,IFERROR(INDEX(Holidays!$B$6:$B$60,MATCH(DATE(CalYear,11,23),Holidays!$C$6:$C$60,0)),""),"")</f>
        <v>0</v>
      </c>
      <c r="Y28" s="13">
        <f>IF(MONTH(DATE(CalYear,12,23))=12,CHOOSE(WEEKDAY(DATE(CalYear,12,23)),"Su","Mo","Tu","We","Th","Fr","Sa"),"")</f>
        <v>0</v>
      </c>
      <c r="Z28" s="15">
        <f>IF(MONTH(DATE(CalYear,12,23))=12,IFERROR(INDEX(Holidays!$B$6:$B$60,MATCH(DATE(CalYear,12,23),Holidays!$C$6:$C$60,0)),""),"")</f>
        <v>0</v>
      </c>
      <c r="AA28" s="12">
        <v>23</v>
      </c>
    </row>
    <row r="29" spans="2:27" ht="22" customHeight="1">
      <c r="B29" s="12">
        <v>24</v>
      </c>
      <c r="C29" s="13">
        <f>IF(MONTH(DATE(CalYear,1,24))=1,CHOOSE(WEEKDAY(DATE(CalYear,1,24)),"Su","Mo","Tu","We","Th","Fr","Sa"),"")</f>
        <v>0</v>
      </c>
      <c r="D29" s="14">
        <f>IF(MONTH(DATE(CalYear,1,24))=1,IFERROR(INDEX(Holidays!$B$6:$B$60,MATCH(DATE(CalYear,1,24),Holidays!$C$6:$C$60,0)),""),"")</f>
        <v>0</v>
      </c>
      <c r="E29" s="13">
        <f>IF(MONTH(DATE(CalYear,2,24))=2,CHOOSE(WEEKDAY(DATE(CalYear,2,24)),"Su","Mo","Tu","We","Th","Fr","Sa"),"")</f>
        <v>0</v>
      </c>
      <c r="F29" s="14">
        <f>IF(MONTH(DATE(CalYear,2,24))=2,IFERROR(INDEX(Holidays!$B$6:$B$60,MATCH(DATE(CalYear,2,24),Holidays!$C$6:$C$60,0)),""),"")</f>
        <v>0</v>
      </c>
      <c r="G29" s="13">
        <f>IF(MONTH(DATE(CalYear,3,24))=3,CHOOSE(WEEKDAY(DATE(CalYear,3,24)),"Su","Mo","Tu","We","Th","Fr","Sa"),"")</f>
        <v>0</v>
      </c>
      <c r="H29" s="14">
        <f>IF(MONTH(DATE(CalYear,3,24))=3,IFERROR(INDEX(Holidays!$B$6:$B$60,MATCH(DATE(CalYear,3,24),Holidays!$C$6:$C$60,0)),""),"")</f>
        <v>0</v>
      </c>
      <c r="I29" s="13">
        <f>IF(MONTH(DATE(CalYear,4,24))=4,CHOOSE(WEEKDAY(DATE(CalYear,4,24)),"Su","Mo","Tu","We","Th","Fr","Sa"),"")</f>
        <v>0</v>
      </c>
      <c r="J29" s="14">
        <f>IF(MONTH(DATE(CalYear,4,24))=4,IFERROR(INDEX(Holidays!$B$6:$B$60,MATCH(DATE(CalYear,4,24),Holidays!$C$6:$C$60,0)),""),"")</f>
        <v>0</v>
      </c>
      <c r="K29" s="13">
        <f>IF(MONTH(DATE(CalYear,5,24))=5,CHOOSE(WEEKDAY(DATE(CalYear,5,24)),"Su","Mo","Tu","We","Th","Fr","Sa"),"")</f>
        <v>0</v>
      </c>
      <c r="L29" s="14">
        <f>IF(MONTH(DATE(CalYear,5,24))=5,IFERROR(INDEX(Holidays!$B$6:$B$60,MATCH(DATE(CalYear,5,24),Holidays!$C$6:$C$60,0)),""),"")</f>
        <v>0</v>
      </c>
      <c r="M29" s="13">
        <f>IF(MONTH(DATE(CalYear,6,24))=6,CHOOSE(WEEKDAY(DATE(CalYear,6,24)),"Su","Mo","Tu","We","Th","Fr","Sa"),"")</f>
        <v>0</v>
      </c>
      <c r="N29" s="14">
        <f>IF(MONTH(DATE(CalYear,6,24))=6,IFERROR(INDEX(Holidays!$B$6:$B$60,MATCH(DATE(CalYear,6,24),Holidays!$C$6:$C$60,0)),""),"")</f>
        <v>0</v>
      </c>
      <c r="O29" s="13">
        <f>IF(MONTH(DATE(CalYear,7,24))=7,CHOOSE(WEEKDAY(DATE(CalYear,7,24)),"Su","Mo","Tu","We","Th","Fr","Sa"),"")</f>
        <v>0</v>
      </c>
      <c r="P29" s="14">
        <f>IF(MONTH(DATE(CalYear,7,24))=7,IFERROR(INDEX(Holidays!$B$6:$B$60,MATCH(DATE(CalYear,7,24),Holidays!$C$6:$C$60,0)),""),"")</f>
        <v>0</v>
      </c>
      <c r="Q29" s="13">
        <f>IF(MONTH(DATE(CalYear,8,24))=8,CHOOSE(WEEKDAY(DATE(CalYear,8,24)),"Su","Mo","Tu","We","Th","Fr","Sa"),"")</f>
        <v>0</v>
      </c>
      <c r="R29" s="14">
        <f>IF(MONTH(DATE(CalYear,8,24))=8,IFERROR(INDEX(Holidays!$B$6:$B$60,MATCH(DATE(CalYear,8,24),Holidays!$C$6:$C$60,0)),""),"")</f>
        <v>0</v>
      </c>
      <c r="S29" s="13">
        <f>IF(MONTH(DATE(CalYear,9,24))=9,CHOOSE(WEEKDAY(DATE(CalYear,9,24)),"Su","Mo","Tu","We","Th","Fr","Sa"),"")</f>
        <v>0</v>
      </c>
      <c r="T29" s="14">
        <f>IF(MONTH(DATE(CalYear,9,24))=9,IFERROR(INDEX(Holidays!$B$6:$B$60,MATCH(DATE(CalYear,9,24),Holidays!$C$6:$C$60,0)),""),"")</f>
        <v>0</v>
      </c>
      <c r="U29" s="13">
        <f>IF(MONTH(DATE(CalYear,10,24))=10,CHOOSE(WEEKDAY(DATE(CalYear,10,24)),"Su","Mo","Tu","We","Th","Fr","Sa"),"")</f>
        <v>0</v>
      </c>
      <c r="V29" s="14">
        <f>IF(MONTH(DATE(CalYear,10,24))=10,IFERROR(INDEX(Holidays!$B$6:$B$60,MATCH(DATE(CalYear,10,24),Holidays!$C$6:$C$60,0)),""),"")</f>
        <v>0</v>
      </c>
      <c r="W29" s="13">
        <f>IF(MONTH(DATE(CalYear,11,24))=11,CHOOSE(WEEKDAY(DATE(CalYear,11,24)),"Su","Mo","Tu","We","Th","Fr","Sa"),"")</f>
        <v>0</v>
      </c>
      <c r="X29" s="14">
        <f>IF(MONTH(DATE(CalYear,11,24))=11,IFERROR(INDEX(Holidays!$B$6:$B$60,MATCH(DATE(CalYear,11,24),Holidays!$C$6:$C$60,0)),""),"")</f>
        <v>0</v>
      </c>
      <c r="Y29" s="13">
        <f>IF(MONTH(DATE(CalYear,12,24))=12,CHOOSE(WEEKDAY(DATE(CalYear,12,24)),"Su","Mo","Tu","We","Th","Fr","Sa"),"")</f>
        <v>0</v>
      </c>
      <c r="Z29" s="15">
        <f>IF(MONTH(DATE(CalYear,12,24))=12,IFERROR(INDEX(Holidays!$B$6:$B$60,MATCH(DATE(CalYear,12,24),Holidays!$C$6:$C$60,0)),""),"")</f>
        <v>0</v>
      </c>
      <c r="AA29" s="12">
        <v>24</v>
      </c>
    </row>
    <row r="30" spans="2:27" ht="22" customHeight="1">
      <c r="B30" s="12">
        <v>25</v>
      </c>
      <c r="C30" s="13">
        <f>IF(MONTH(DATE(CalYear,1,25))=1,CHOOSE(WEEKDAY(DATE(CalYear,1,25)),"Su","Mo","Tu","We","Th","Fr","Sa"),"")</f>
        <v>0</v>
      </c>
      <c r="D30" s="14">
        <f>IF(MONTH(DATE(CalYear,1,25))=1,IFERROR(INDEX(Holidays!$B$6:$B$60,MATCH(DATE(CalYear,1,25),Holidays!$C$6:$C$60,0)),""),"")</f>
        <v>0</v>
      </c>
      <c r="E30" s="13">
        <f>IF(MONTH(DATE(CalYear,2,25))=2,CHOOSE(WEEKDAY(DATE(CalYear,2,25)),"Su","Mo","Tu","We","Th","Fr","Sa"),"")</f>
        <v>0</v>
      </c>
      <c r="F30" s="14">
        <f>IF(MONTH(DATE(CalYear,2,25))=2,IFERROR(INDEX(Holidays!$B$6:$B$60,MATCH(DATE(CalYear,2,25),Holidays!$C$6:$C$60,0)),""),"")</f>
        <v>0</v>
      </c>
      <c r="G30" s="13">
        <f>IF(MONTH(DATE(CalYear,3,25))=3,CHOOSE(WEEKDAY(DATE(CalYear,3,25)),"Su","Mo","Tu","We","Th","Fr","Sa"),"")</f>
        <v>0</v>
      </c>
      <c r="H30" s="14">
        <f>IF(MONTH(DATE(CalYear,3,25))=3,IFERROR(INDEX(Holidays!$B$6:$B$60,MATCH(DATE(CalYear,3,25),Holidays!$C$6:$C$60,0)),""),"")</f>
        <v>0</v>
      </c>
      <c r="I30" s="13">
        <f>IF(MONTH(DATE(CalYear,4,25))=4,CHOOSE(WEEKDAY(DATE(CalYear,4,25)),"Su","Mo","Tu","We","Th","Fr","Sa"),"")</f>
        <v>0</v>
      </c>
      <c r="J30" s="14">
        <f>IF(MONTH(DATE(CalYear,4,25))=4,IFERROR(INDEX(Holidays!$B$6:$B$60,MATCH(DATE(CalYear,4,25),Holidays!$C$6:$C$60,0)),""),"")</f>
        <v>0</v>
      </c>
      <c r="K30" s="13">
        <f>IF(MONTH(DATE(CalYear,5,25))=5,CHOOSE(WEEKDAY(DATE(CalYear,5,25)),"Su","Mo","Tu","We","Th","Fr","Sa"),"")</f>
        <v>0</v>
      </c>
      <c r="L30" s="14">
        <f>IF(MONTH(DATE(CalYear,5,25))=5,IFERROR(INDEX(Holidays!$B$6:$B$60,MATCH(DATE(CalYear,5,25),Holidays!$C$6:$C$60,0)),""),"")</f>
        <v>0</v>
      </c>
      <c r="M30" s="13">
        <f>IF(MONTH(DATE(CalYear,6,25))=6,CHOOSE(WEEKDAY(DATE(CalYear,6,25)),"Su","Mo","Tu","We","Th","Fr","Sa"),"")</f>
        <v>0</v>
      </c>
      <c r="N30" s="14">
        <f>IF(MONTH(DATE(CalYear,6,25))=6,IFERROR(INDEX(Holidays!$B$6:$B$60,MATCH(DATE(CalYear,6,25),Holidays!$C$6:$C$60,0)),""),"")</f>
        <v>0</v>
      </c>
      <c r="O30" s="13">
        <f>IF(MONTH(DATE(CalYear,7,25))=7,CHOOSE(WEEKDAY(DATE(CalYear,7,25)),"Su","Mo","Tu","We","Th","Fr","Sa"),"")</f>
        <v>0</v>
      </c>
      <c r="P30" s="14">
        <f>IF(MONTH(DATE(CalYear,7,25))=7,IFERROR(INDEX(Holidays!$B$6:$B$60,MATCH(DATE(CalYear,7,25),Holidays!$C$6:$C$60,0)),""),"")</f>
        <v>0</v>
      </c>
      <c r="Q30" s="13">
        <f>IF(MONTH(DATE(CalYear,8,25))=8,CHOOSE(WEEKDAY(DATE(CalYear,8,25)),"Su","Mo","Tu","We","Th","Fr","Sa"),"")</f>
        <v>0</v>
      </c>
      <c r="R30" s="14">
        <f>IF(MONTH(DATE(CalYear,8,25))=8,IFERROR(INDEX(Holidays!$B$6:$B$60,MATCH(DATE(CalYear,8,25),Holidays!$C$6:$C$60,0)),""),"")</f>
        <v>0</v>
      </c>
      <c r="S30" s="13">
        <f>IF(MONTH(DATE(CalYear,9,25))=9,CHOOSE(WEEKDAY(DATE(CalYear,9,25)),"Su","Mo","Tu","We","Th","Fr","Sa"),"")</f>
        <v>0</v>
      </c>
      <c r="T30" s="14">
        <f>IF(MONTH(DATE(CalYear,9,25))=9,IFERROR(INDEX(Holidays!$B$6:$B$60,MATCH(DATE(CalYear,9,25),Holidays!$C$6:$C$60,0)),""),"")</f>
        <v>0</v>
      </c>
      <c r="U30" s="13">
        <f>IF(MONTH(DATE(CalYear,10,25))=10,CHOOSE(WEEKDAY(DATE(CalYear,10,25)),"Su","Mo","Tu","We","Th","Fr","Sa"),"")</f>
        <v>0</v>
      </c>
      <c r="V30" s="14">
        <f>IF(MONTH(DATE(CalYear,10,25))=10,IFERROR(INDEX(Holidays!$B$6:$B$60,MATCH(DATE(CalYear,10,25),Holidays!$C$6:$C$60,0)),""),"")</f>
        <v>0</v>
      </c>
      <c r="W30" s="13">
        <f>IF(MONTH(DATE(CalYear,11,25))=11,CHOOSE(WEEKDAY(DATE(CalYear,11,25)),"Su","Mo","Tu","We","Th","Fr","Sa"),"")</f>
        <v>0</v>
      </c>
      <c r="X30" s="14">
        <f>IF(MONTH(DATE(CalYear,11,25))=11,IFERROR(INDEX(Holidays!$B$6:$B$60,MATCH(DATE(CalYear,11,25),Holidays!$C$6:$C$60,0)),""),"")</f>
        <v>0</v>
      </c>
      <c r="Y30" s="13">
        <f>IF(MONTH(DATE(CalYear,12,25))=12,CHOOSE(WEEKDAY(DATE(CalYear,12,25)),"Su","Mo","Tu","We","Th","Fr","Sa"),"")</f>
        <v>0</v>
      </c>
      <c r="Z30" s="15">
        <f>IF(MONTH(DATE(CalYear,12,25))=12,IFERROR(INDEX(Holidays!$B$6:$B$60,MATCH(DATE(CalYear,12,25),Holidays!$C$6:$C$60,0)),""),"")</f>
        <v>0</v>
      </c>
      <c r="AA30" s="12">
        <v>25</v>
      </c>
    </row>
    <row r="31" spans="2:27" ht="22" customHeight="1">
      <c r="B31" s="12">
        <v>26</v>
      </c>
      <c r="C31" s="13">
        <f>IF(MONTH(DATE(CalYear,1,26))=1,CHOOSE(WEEKDAY(DATE(CalYear,1,26)),"Su","Mo","Tu","We","Th","Fr","Sa"),"")</f>
        <v>0</v>
      </c>
      <c r="D31" s="14">
        <f>IF(MONTH(DATE(CalYear,1,26))=1,IFERROR(INDEX(Holidays!$B$6:$B$60,MATCH(DATE(CalYear,1,26),Holidays!$C$6:$C$60,0)),""),"")</f>
        <v>0</v>
      </c>
      <c r="E31" s="13">
        <f>IF(MONTH(DATE(CalYear,2,26))=2,CHOOSE(WEEKDAY(DATE(CalYear,2,26)),"Su","Mo","Tu","We","Th","Fr","Sa"),"")</f>
        <v>0</v>
      </c>
      <c r="F31" s="14">
        <f>IF(MONTH(DATE(CalYear,2,26))=2,IFERROR(INDEX(Holidays!$B$6:$B$60,MATCH(DATE(CalYear,2,26),Holidays!$C$6:$C$60,0)),""),"")</f>
        <v>0</v>
      </c>
      <c r="G31" s="13">
        <f>IF(MONTH(DATE(CalYear,3,26))=3,CHOOSE(WEEKDAY(DATE(CalYear,3,26)),"Su","Mo","Tu","We","Th","Fr","Sa"),"")</f>
        <v>0</v>
      </c>
      <c r="H31" s="14">
        <f>IF(MONTH(DATE(CalYear,3,26))=3,IFERROR(INDEX(Holidays!$B$6:$B$60,MATCH(DATE(CalYear,3,26),Holidays!$C$6:$C$60,0)),""),"")</f>
        <v>0</v>
      </c>
      <c r="I31" s="13">
        <f>IF(MONTH(DATE(CalYear,4,26))=4,CHOOSE(WEEKDAY(DATE(CalYear,4,26)),"Su","Mo","Tu","We","Th","Fr","Sa"),"")</f>
        <v>0</v>
      </c>
      <c r="J31" s="14">
        <f>IF(MONTH(DATE(CalYear,4,26))=4,IFERROR(INDEX(Holidays!$B$6:$B$60,MATCH(DATE(CalYear,4,26),Holidays!$C$6:$C$60,0)),""),"")</f>
        <v>0</v>
      </c>
      <c r="K31" s="13">
        <f>IF(MONTH(DATE(CalYear,5,26))=5,CHOOSE(WEEKDAY(DATE(CalYear,5,26)),"Su","Mo","Tu","We","Th","Fr","Sa"),"")</f>
        <v>0</v>
      </c>
      <c r="L31" s="14">
        <f>IF(MONTH(DATE(CalYear,5,26))=5,IFERROR(INDEX(Holidays!$B$6:$B$60,MATCH(DATE(CalYear,5,26),Holidays!$C$6:$C$60,0)),""),"")</f>
        <v>0</v>
      </c>
      <c r="M31" s="13">
        <f>IF(MONTH(DATE(CalYear,6,26))=6,CHOOSE(WEEKDAY(DATE(CalYear,6,26)),"Su","Mo","Tu","We","Th","Fr","Sa"),"")</f>
        <v>0</v>
      </c>
      <c r="N31" s="14">
        <f>IF(MONTH(DATE(CalYear,6,26))=6,IFERROR(INDEX(Holidays!$B$6:$B$60,MATCH(DATE(CalYear,6,26),Holidays!$C$6:$C$60,0)),""),"")</f>
        <v>0</v>
      </c>
      <c r="O31" s="13">
        <f>IF(MONTH(DATE(CalYear,7,26))=7,CHOOSE(WEEKDAY(DATE(CalYear,7,26)),"Su","Mo","Tu","We","Th","Fr","Sa"),"")</f>
        <v>0</v>
      </c>
      <c r="P31" s="14">
        <f>IF(MONTH(DATE(CalYear,7,26))=7,IFERROR(INDEX(Holidays!$B$6:$B$60,MATCH(DATE(CalYear,7,26),Holidays!$C$6:$C$60,0)),""),"")</f>
        <v>0</v>
      </c>
      <c r="Q31" s="13">
        <f>IF(MONTH(DATE(CalYear,8,26))=8,CHOOSE(WEEKDAY(DATE(CalYear,8,26)),"Su","Mo","Tu","We","Th","Fr","Sa"),"")</f>
        <v>0</v>
      </c>
      <c r="R31" s="14">
        <f>IF(MONTH(DATE(CalYear,8,26))=8,IFERROR(INDEX(Holidays!$B$6:$B$60,MATCH(DATE(CalYear,8,26),Holidays!$C$6:$C$60,0)),""),"")</f>
        <v>0</v>
      </c>
      <c r="S31" s="13">
        <f>IF(MONTH(DATE(CalYear,9,26))=9,CHOOSE(WEEKDAY(DATE(CalYear,9,26)),"Su","Mo","Tu","We","Th","Fr","Sa"),"")</f>
        <v>0</v>
      </c>
      <c r="T31" s="14">
        <f>IF(MONTH(DATE(CalYear,9,26))=9,IFERROR(INDEX(Holidays!$B$6:$B$60,MATCH(DATE(CalYear,9,26),Holidays!$C$6:$C$60,0)),""),"")</f>
        <v>0</v>
      </c>
      <c r="U31" s="13">
        <f>IF(MONTH(DATE(CalYear,10,26))=10,CHOOSE(WEEKDAY(DATE(CalYear,10,26)),"Su","Mo","Tu","We","Th","Fr","Sa"),"")</f>
        <v>0</v>
      </c>
      <c r="V31" s="14">
        <f>IF(MONTH(DATE(CalYear,10,26))=10,IFERROR(INDEX(Holidays!$B$6:$B$60,MATCH(DATE(CalYear,10,26),Holidays!$C$6:$C$60,0)),""),"")</f>
        <v>0</v>
      </c>
      <c r="W31" s="13">
        <f>IF(MONTH(DATE(CalYear,11,26))=11,CHOOSE(WEEKDAY(DATE(CalYear,11,26)),"Su","Mo","Tu","We","Th","Fr","Sa"),"")</f>
        <v>0</v>
      </c>
      <c r="X31" s="14">
        <f>IF(MONTH(DATE(CalYear,11,26))=11,IFERROR(INDEX(Holidays!$B$6:$B$60,MATCH(DATE(CalYear,11,26),Holidays!$C$6:$C$60,0)),""),"")</f>
        <v>0</v>
      </c>
      <c r="Y31" s="13">
        <f>IF(MONTH(DATE(CalYear,12,26))=12,CHOOSE(WEEKDAY(DATE(CalYear,12,26)),"Su","Mo","Tu","We","Th","Fr","Sa"),"")</f>
        <v>0</v>
      </c>
      <c r="Z31" s="15">
        <f>IF(MONTH(DATE(CalYear,12,26))=12,IFERROR(INDEX(Holidays!$B$6:$B$60,MATCH(DATE(CalYear,12,26),Holidays!$C$6:$C$60,0)),""),"")</f>
        <v>0</v>
      </c>
      <c r="AA31" s="12">
        <v>26</v>
      </c>
    </row>
    <row r="32" spans="2:27" ht="22" customHeight="1">
      <c r="B32" s="12">
        <v>27</v>
      </c>
      <c r="C32" s="13">
        <f>IF(MONTH(DATE(CalYear,1,27))=1,CHOOSE(WEEKDAY(DATE(CalYear,1,27)),"Su","Mo","Tu","We","Th","Fr","Sa"),"")</f>
        <v>0</v>
      </c>
      <c r="D32" s="14">
        <f>IF(MONTH(DATE(CalYear,1,27))=1,IFERROR(INDEX(Holidays!$B$6:$B$60,MATCH(DATE(CalYear,1,27),Holidays!$C$6:$C$60,0)),""),"")</f>
        <v>0</v>
      </c>
      <c r="E32" s="13">
        <f>IF(MONTH(DATE(CalYear,2,27))=2,CHOOSE(WEEKDAY(DATE(CalYear,2,27)),"Su","Mo","Tu","We","Th","Fr","Sa"),"")</f>
        <v>0</v>
      </c>
      <c r="F32" s="14">
        <f>IF(MONTH(DATE(CalYear,2,27))=2,IFERROR(INDEX(Holidays!$B$6:$B$60,MATCH(DATE(CalYear,2,27),Holidays!$C$6:$C$60,0)),""),"")</f>
        <v>0</v>
      </c>
      <c r="G32" s="13">
        <f>IF(MONTH(DATE(CalYear,3,27))=3,CHOOSE(WEEKDAY(DATE(CalYear,3,27)),"Su","Mo","Tu","We","Th","Fr","Sa"),"")</f>
        <v>0</v>
      </c>
      <c r="H32" s="14">
        <f>IF(MONTH(DATE(CalYear,3,27))=3,IFERROR(INDEX(Holidays!$B$6:$B$60,MATCH(DATE(CalYear,3,27),Holidays!$C$6:$C$60,0)),""),"")</f>
        <v>0</v>
      </c>
      <c r="I32" s="13">
        <f>IF(MONTH(DATE(CalYear,4,27))=4,CHOOSE(WEEKDAY(DATE(CalYear,4,27)),"Su","Mo","Tu","We","Th","Fr","Sa"),"")</f>
        <v>0</v>
      </c>
      <c r="J32" s="14">
        <f>IF(MONTH(DATE(CalYear,4,27))=4,IFERROR(INDEX(Holidays!$B$6:$B$60,MATCH(DATE(CalYear,4,27),Holidays!$C$6:$C$60,0)),""),"")</f>
        <v>0</v>
      </c>
      <c r="K32" s="13">
        <f>IF(MONTH(DATE(CalYear,5,27))=5,CHOOSE(WEEKDAY(DATE(CalYear,5,27)),"Su","Mo","Tu","We","Th","Fr","Sa"),"")</f>
        <v>0</v>
      </c>
      <c r="L32" s="14">
        <f>IF(MONTH(DATE(CalYear,5,27))=5,IFERROR(INDEX(Holidays!$B$6:$B$60,MATCH(DATE(CalYear,5,27),Holidays!$C$6:$C$60,0)),""),"")</f>
        <v>0</v>
      </c>
      <c r="M32" s="13">
        <f>IF(MONTH(DATE(CalYear,6,27))=6,CHOOSE(WEEKDAY(DATE(CalYear,6,27)),"Su","Mo","Tu","We","Th","Fr","Sa"),"")</f>
        <v>0</v>
      </c>
      <c r="N32" s="14">
        <f>IF(MONTH(DATE(CalYear,6,27))=6,IFERROR(INDEX(Holidays!$B$6:$B$60,MATCH(DATE(CalYear,6,27),Holidays!$C$6:$C$60,0)),""),"")</f>
        <v>0</v>
      </c>
      <c r="O32" s="13">
        <f>IF(MONTH(DATE(CalYear,7,27))=7,CHOOSE(WEEKDAY(DATE(CalYear,7,27)),"Su","Mo","Tu","We","Th","Fr","Sa"),"")</f>
        <v>0</v>
      </c>
      <c r="P32" s="14">
        <f>IF(MONTH(DATE(CalYear,7,27))=7,IFERROR(INDEX(Holidays!$B$6:$B$60,MATCH(DATE(CalYear,7,27),Holidays!$C$6:$C$60,0)),""),"")</f>
        <v>0</v>
      </c>
      <c r="Q32" s="13">
        <f>IF(MONTH(DATE(CalYear,8,27))=8,CHOOSE(WEEKDAY(DATE(CalYear,8,27)),"Su","Mo","Tu","We","Th","Fr","Sa"),"")</f>
        <v>0</v>
      </c>
      <c r="R32" s="14">
        <f>IF(MONTH(DATE(CalYear,8,27))=8,IFERROR(INDEX(Holidays!$B$6:$B$60,MATCH(DATE(CalYear,8,27),Holidays!$C$6:$C$60,0)),""),"")</f>
        <v>0</v>
      </c>
      <c r="S32" s="13">
        <f>IF(MONTH(DATE(CalYear,9,27))=9,CHOOSE(WEEKDAY(DATE(CalYear,9,27)),"Su","Mo","Tu","We","Th","Fr","Sa"),"")</f>
        <v>0</v>
      </c>
      <c r="T32" s="14">
        <f>IF(MONTH(DATE(CalYear,9,27))=9,IFERROR(INDEX(Holidays!$B$6:$B$60,MATCH(DATE(CalYear,9,27),Holidays!$C$6:$C$60,0)),""),"")</f>
        <v>0</v>
      </c>
      <c r="U32" s="13">
        <f>IF(MONTH(DATE(CalYear,10,27))=10,CHOOSE(WEEKDAY(DATE(CalYear,10,27)),"Su","Mo","Tu","We","Th","Fr","Sa"),"")</f>
        <v>0</v>
      </c>
      <c r="V32" s="14">
        <f>IF(MONTH(DATE(CalYear,10,27))=10,IFERROR(INDEX(Holidays!$B$6:$B$60,MATCH(DATE(CalYear,10,27),Holidays!$C$6:$C$60,0)),""),"")</f>
        <v>0</v>
      </c>
      <c r="W32" s="13">
        <f>IF(MONTH(DATE(CalYear,11,27))=11,CHOOSE(WEEKDAY(DATE(CalYear,11,27)),"Su","Mo","Tu","We","Th","Fr","Sa"),"")</f>
        <v>0</v>
      </c>
      <c r="X32" s="14">
        <f>IF(MONTH(DATE(CalYear,11,27))=11,IFERROR(INDEX(Holidays!$B$6:$B$60,MATCH(DATE(CalYear,11,27),Holidays!$C$6:$C$60,0)),""),"")</f>
        <v>0</v>
      </c>
      <c r="Y32" s="13">
        <f>IF(MONTH(DATE(CalYear,12,27))=12,CHOOSE(WEEKDAY(DATE(CalYear,12,27)),"Su","Mo","Tu","We","Th","Fr","Sa"),"")</f>
        <v>0</v>
      </c>
      <c r="Z32" s="15">
        <f>IF(MONTH(DATE(CalYear,12,27))=12,IFERROR(INDEX(Holidays!$B$6:$B$60,MATCH(DATE(CalYear,12,27),Holidays!$C$6:$C$60,0)),""),"")</f>
        <v>0</v>
      </c>
      <c r="AA32" s="12">
        <v>27</v>
      </c>
    </row>
    <row r="33" spans="2:27" ht="22" customHeight="1">
      <c r="B33" s="12">
        <v>28</v>
      </c>
      <c r="C33" s="13">
        <f>IF(MONTH(DATE(CalYear,1,28))=1,CHOOSE(WEEKDAY(DATE(CalYear,1,28)),"Su","Mo","Tu","We","Th","Fr","Sa"),"")</f>
        <v>0</v>
      </c>
      <c r="D33" s="14">
        <f>IF(MONTH(DATE(CalYear,1,28))=1,IFERROR(INDEX(Holidays!$B$6:$B$60,MATCH(DATE(CalYear,1,28),Holidays!$C$6:$C$60,0)),""),"")</f>
        <v>0</v>
      </c>
      <c r="E33" s="13">
        <f>IF(MONTH(DATE(CalYear,2,28))=2,CHOOSE(WEEKDAY(DATE(CalYear,2,28)),"Su","Mo","Tu","We","Th","Fr","Sa"),"")</f>
        <v>0</v>
      </c>
      <c r="F33" s="14">
        <f>IF(MONTH(DATE(CalYear,2,28))=2,IFERROR(INDEX(Holidays!$B$6:$B$60,MATCH(DATE(CalYear,2,28),Holidays!$C$6:$C$60,0)),""),"")</f>
        <v>0</v>
      </c>
      <c r="G33" s="13">
        <f>IF(MONTH(DATE(CalYear,3,28))=3,CHOOSE(WEEKDAY(DATE(CalYear,3,28)),"Su","Mo","Tu","We","Th","Fr","Sa"),"")</f>
        <v>0</v>
      </c>
      <c r="H33" s="14">
        <f>IF(MONTH(DATE(CalYear,3,28))=3,IFERROR(INDEX(Holidays!$B$6:$B$60,MATCH(DATE(CalYear,3,28),Holidays!$C$6:$C$60,0)),""),"")</f>
        <v>0</v>
      </c>
      <c r="I33" s="13">
        <f>IF(MONTH(DATE(CalYear,4,28))=4,CHOOSE(WEEKDAY(DATE(CalYear,4,28)),"Su","Mo","Tu","We","Th","Fr","Sa"),"")</f>
        <v>0</v>
      </c>
      <c r="J33" s="14">
        <f>IF(MONTH(DATE(CalYear,4,28))=4,IFERROR(INDEX(Holidays!$B$6:$B$60,MATCH(DATE(CalYear,4,28),Holidays!$C$6:$C$60,0)),""),"")</f>
        <v>0</v>
      </c>
      <c r="K33" s="13">
        <f>IF(MONTH(DATE(CalYear,5,28))=5,CHOOSE(WEEKDAY(DATE(CalYear,5,28)),"Su","Mo","Tu","We","Th","Fr","Sa"),"")</f>
        <v>0</v>
      </c>
      <c r="L33" s="14">
        <f>IF(MONTH(DATE(CalYear,5,28))=5,IFERROR(INDEX(Holidays!$B$6:$B$60,MATCH(DATE(CalYear,5,28),Holidays!$C$6:$C$60,0)),""),"")</f>
        <v>0</v>
      </c>
      <c r="M33" s="13">
        <f>IF(MONTH(DATE(CalYear,6,28))=6,CHOOSE(WEEKDAY(DATE(CalYear,6,28)),"Su","Mo","Tu","We","Th","Fr","Sa"),"")</f>
        <v>0</v>
      </c>
      <c r="N33" s="14">
        <f>IF(MONTH(DATE(CalYear,6,28))=6,IFERROR(INDEX(Holidays!$B$6:$B$60,MATCH(DATE(CalYear,6,28),Holidays!$C$6:$C$60,0)),""),"")</f>
        <v>0</v>
      </c>
      <c r="O33" s="13">
        <f>IF(MONTH(DATE(CalYear,7,28))=7,CHOOSE(WEEKDAY(DATE(CalYear,7,28)),"Su","Mo","Tu","We","Th","Fr","Sa"),"")</f>
        <v>0</v>
      </c>
      <c r="P33" s="14">
        <f>IF(MONTH(DATE(CalYear,7,28))=7,IFERROR(INDEX(Holidays!$B$6:$B$60,MATCH(DATE(CalYear,7,28),Holidays!$C$6:$C$60,0)),""),"")</f>
        <v>0</v>
      </c>
      <c r="Q33" s="13">
        <f>IF(MONTH(DATE(CalYear,8,28))=8,CHOOSE(WEEKDAY(DATE(CalYear,8,28)),"Su","Mo","Tu","We","Th","Fr","Sa"),"")</f>
        <v>0</v>
      </c>
      <c r="R33" s="14">
        <f>IF(MONTH(DATE(CalYear,8,28))=8,IFERROR(INDEX(Holidays!$B$6:$B$60,MATCH(DATE(CalYear,8,28),Holidays!$C$6:$C$60,0)),""),"")</f>
        <v>0</v>
      </c>
      <c r="S33" s="13">
        <f>IF(MONTH(DATE(CalYear,9,28))=9,CHOOSE(WEEKDAY(DATE(CalYear,9,28)),"Su","Mo","Tu","We","Th","Fr","Sa"),"")</f>
        <v>0</v>
      </c>
      <c r="T33" s="14">
        <f>IF(MONTH(DATE(CalYear,9,28))=9,IFERROR(INDEX(Holidays!$B$6:$B$60,MATCH(DATE(CalYear,9,28),Holidays!$C$6:$C$60,0)),""),"")</f>
        <v>0</v>
      </c>
      <c r="U33" s="13">
        <f>IF(MONTH(DATE(CalYear,10,28))=10,CHOOSE(WEEKDAY(DATE(CalYear,10,28)),"Su","Mo","Tu","We","Th","Fr","Sa"),"")</f>
        <v>0</v>
      </c>
      <c r="V33" s="14">
        <f>IF(MONTH(DATE(CalYear,10,28))=10,IFERROR(INDEX(Holidays!$B$6:$B$60,MATCH(DATE(CalYear,10,28),Holidays!$C$6:$C$60,0)),""),"")</f>
        <v>0</v>
      </c>
      <c r="W33" s="13">
        <f>IF(MONTH(DATE(CalYear,11,28))=11,CHOOSE(WEEKDAY(DATE(CalYear,11,28)),"Su","Mo","Tu","We","Th","Fr","Sa"),"")</f>
        <v>0</v>
      </c>
      <c r="X33" s="14">
        <f>IF(MONTH(DATE(CalYear,11,28))=11,IFERROR(INDEX(Holidays!$B$6:$B$60,MATCH(DATE(CalYear,11,28),Holidays!$C$6:$C$60,0)),""),"")</f>
        <v>0</v>
      </c>
      <c r="Y33" s="13">
        <f>IF(MONTH(DATE(CalYear,12,28))=12,CHOOSE(WEEKDAY(DATE(CalYear,12,28)),"Su","Mo","Tu","We","Th","Fr","Sa"),"")</f>
        <v>0</v>
      </c>
      <c r="Z33" s="15">
        <f>IF(MONTH(DATE(CalYear,12,28))=12,IFERROR(INDEX(Holidays!$B$6:$B$60,MATCH(DATE(CalYear,12,28),Holidays!$C$6:$C$60,0)),""),"")</f>
        <v>0</v>
      </c>
      <c r="AA33" s="12">
        <v>28</v>
      </c>
    </row>
    <row r="34" spans="2:27" ht="22" customHeight="1">
      <c r="B34" s="12">
        <v>29</v>
      </c>
      <c r="C34" s="13">
        <f>IF(MONTH(DATE(CalYear,1,29))=1,CHOOSE(WEEKDAY(DATE(CalYear,1,29)),"Su","Mo","Tu","We","Th","Fr","Sa"),"")</f>
        <v>0</v>
      </c>
      <c r="D34" s="14">
        <f>IF(MONTH(DATE(CalYear,1,29))=1,IFERROR(INDEX(Holidays!$B$6:$B$60,MATCH(DATE(CalYear,1,29),Holidays!$C$6:$C$60,0)),""),"")</f>
        <v>0</v>
      </c>
      <c r="E34" s="13">
        <f>IF(MONTH(DATE(CalYear,2,29))=2,CHOOSE(WEEKDAY(DATE(CalYear,2,29)),"Su","Mo","Tu","We","Th","Fr","Sa"),"")</f>
        <v>0</v>
      </c>
      <c r="F34" s="14">
        <f>IF(MONTH(DATE(CalYear,2,29))=2,IFERROR(INDEX(Holidays!$B$6:$B$60,MATCH(DATE(CalYear,2,29),Holidays!$C$6:$C$60,0)),""),"")</f>
        <v>0</v>
      </c>
      <c r="G34" s="13">
        <f>IF(MONTH(DATE(CalYear,3,29))=3,CHOOSE(WEEKDAY(DATE(CalYear,3,29)),"Su","Mo","Tu","We","Th","Fr","Sa"),"")</f>
        <v>0</v>
      </c>
      <c r="H34" s="14">
        <f>IF(MONTH(DATE(CalYear,3,29))=3,IFERROR(INDEX(Holidays!$B$6:$B$60,MATCH(DATE(CalYear,3,29),Holidays!$C$6:$C$60,0)),""),"")</f>
        <v>0</v>
      </c>
      <c r="I34" s="13">
        <f>IF(MONTH(DATE(CalYear,4,29))=4,CHOOSE(WEEKDAY(DATE(CalYear,4,29)),"Su","Mo","Tu","We","Th","Fr","Sa"),"")</f>
        <v>0</v>
      </c>
      <c r="J34" s="14">
        <f>IF(MONTH(DATE(CalYear,4,29))=4,IFERROR(INDEX(Holidays!$B$6:$B$60,MATCH(DATE(CalYear,4,29),Holidays!$C$6:$C$60,0)),""),"")</f>
        <v>0</v>
      </c>
      <c r="K34" s="13">
        <f>IF(MONTH(DATE(CalYear,5,29))=5,CHOOSE(WEEKDAY(DATE(CalYear,5,29)),"Su","Mo","Tu","We","Th","Fr","Sa"),"")</f>
        <v>0</v>
      </c>
      <c r="L34" s="14">
        <f>IF(MONTH(DATE(CalYear,5,29))=5,IFERROR(INDEX(Holidays!$B$6:$B$60,MATCH(DATE(CalYear,5,29),Holidays!$C$6:$C$60,0)),""),"")</f>
        <v>0</v>
      </c>
      <c r="M34" s="13">
        <f>IF(MONTH(DATE(CalYear,6,29))=6,CHOOSE(WEEKDAY(DATE(CalYear,6,29)),"Su","Mo","Tu","We","Th","Fr","Sa"),"")</f>
        <v>0</v>
      </c>
      <c r="N34" s="14">
        <f>IF(MONTH(DATE(CalYear,6,29))=6,IFERROR(INDEX(Holidays!$B$6:$B$60,MATCH(DATE(CalYear,6,29),Holidays!$C$6:$C$60,0)),""),"")</f>
        <v>0</v>
      </c>
      <c r="O34" s="13">
        <f>IF(MONTH(DATE(CalYear,7,29))=7,CHOOSE(WEEKDAY(DATE(CalYear,7,29)),"Su","Mo","Tu","We","Th","Fr","Sa"),"")</f>
        <v>0</v>
      </c>
      <c r="P34" s="14">
        <f>IF(MONTH(DATE(CalYear,7,29))=7,IFERROR(INDEX(Holidays!$B$6:$B$60,MATCH(DATE(CalYear,7,29),Holidays!$C$6:$C$60,0)),""),"")</f>
        <v>0</v>
      </c>
      <c r="Q34" s="13">
        <f>IF(MONTH(DATE(CalYear,8,29))=8,CHOOSE(WEEKDAY(DATE(CalYear,8,29)),"Su","Mo","Tu","We","Th","Fr","Sa"),"")</f>
        <v>0</v>
      </c>
      <c r="R34" s="14">
        <f>IF(MONTH(DATE(CalYear,8,29))=8,IFERROR(INDEX(Holidays!$B$6:$B$60,MATCH(DATE(CalYear,8,29),Holidays!$C$6:$C$60,0)),""),"")</f>
        <v>0</v>
      </c>
      <c r="S34" s="13">
        <f>IF(MONTH(DATE(CalYear,9,29))=9,CHOOSE(WEEKDAY(DATE(CalYear,9,29)),"Su","Mo","Tu","We","Th","Fr","Sa"),"")</f>
        <v>0</v>
      </c>
      <c r="T34" s="14">
        <f>IF(MONTH(DATE(CalYear,9,29))=9,IFERROR(INDEX(Holidays!$B$6:$B$60,MATCH(DATE(CalYear,9,29),Holidays!$C$6:$C$60,0)),""),"")</f>
        <v>0</v>
      </c>
      <c r="U34" s="13">
        <f>IF(MONTH(DATE(CalYear,10,29))=10,CHOOSE(WEEKDAY(DATE(CalYear,10,29)),"Su","Mo","Tu","We","Th","Fr","Sa"),"")</f>
        <v>0</v>
      </c>
      <c r="V34" s="14">
        <f>IF(MONTH(DATE(CalYear,10,29))=10,IFERROR(INDEX(Holidays!$B$6:$B$60,MATCH(DATE(CalYear,10,29),Holidays!$C$6:$C$60,0)),""),"")</f>
        <v>0</v>
      </c>
      <c r="W34" s="13">
        <f>IF(MONTH(DATE(CalYear,11,29))=11,CHOOSE(WEEKDAY(DATE(CalYear,11,29)),"Su","Mo","Tu","We","Th","Fr","Sa"),"")</f>
        <v>0</v>
      </c>
      <c r="X34" s="14">
        <f>IF(MONTH(DATE(CalYear,11,29))=11,IFERROR(INDEX(Holidays!$B$6:$B$60,MATCH(DATE(CalYear,11,29),Holidays!$C$6:$C$60,0)),""),"")</f>
        <v>0</v>
      </c>
      <c r="Y34" s="13">
        <f>IF(MONTH(DATE(CalYear,12,29))=12,CHOOSE(WEEKDAY(DATE(CalYear,12,29)),"Su","Mo","Tu","We","Th","Fr","Sa"),"")</f>
        <v>0</v>
      </c>
      <c r="Z34" s="15">
        <f>IF(MONTH(DATE(CalYear,12,29))=12,IFERROR(INDEX(Holidays!$B$6:$B$60,MATCH(DATE(CalYear,12,29),Holidays!$C$6:$C$60,0)),""),"")</f>
        <v>0</v>
      </c>
      <c r="AA34" s="12">
        <v>29</v>
      </c>
    </row>
    <row r="35" spans="2:27" ht="22" customHeight="1">
      <c r="B35" s="12">
        <v>30</v>
      </c>
      <c r="C35" s="13">
        <f>IF(MONTH(DATE(CalYear,1,30))=1,CHOOSE(WEEKDAY(DATE(CalYear,1,30)),"Su","Mo","Tu","We","Th","Fr","Sa"),"")</f>
        <v>0</v>
      </c>
      <c r="D35" s="14">
        <f>IF(MONTH(DATE(CalYear,1,30))=1,IFERROR(INDEX(Holidays!$B$6:$B$60,MATCH(DATE(CalYear,1,30),Holidays!$C$6:$C$60,0)),""),"")</f>
        <v>0</v>
      </c>
      <c r="E35" s="13">
        <f>IF(MONTH(DATE(CalYear,2,30))=2,CHOOSE(WEEKDAY(DATE(CalYear,2,30)),"Su","Mo","Tu","We","Th","Fr","Sa"),"")</f>
        <v>0</v>
      </c>
      <c r="F35" s="14">
        <f>IF(MONTH(DATE(CalYear,2,30))=2,IFERROR(INDEX(Holidays!$B$6:$B$60,MATCH(DATE(CalYear,2,30),Holidays!$C$6:$C$60,0)),""),"")</f>
        <v>0</v>
      </c>
      <c r="G35" s="13">
        <f>IF(MONTH(DATE(CalYear,3,30))=3,CHOOSE(WEEKDAY(DATE(CalYear,3,30)),"Su","Mo","Tu","We","Th","Fr","Sa"),"")</f>
        <v>0</v>
      </c>
      <c r="H35" s="14">
        <f>IF(MONTH(DATE(CalYear,3,30))=3,IFERROR(INDEX(Holidays!$B$6:$B$60,MATCH(DATE(CalYear,3,30),Holidays!$C$6:$C$60,0)),""),"")</f>
        <v>0</v>
      </c>
      <c r="I35" s="13">
        <f>IF(MONTH(DATE(CalYear,4,30))=4,CHOOSE(WEEKDAY(DATE(CalYear,4,30)),"Su","Mo","Tu","We","Th","Fr","Sa"),"")</f>
        <v>0</v>
      </c>
      <c r="J35" s="14">
        <f>IF(MONTH(DATE(CalYear,4,30))=4,IFERROR(INDEX(Holidays!$B$6:$B$60,MATCH(DATE(CalYear,4,30),Holidays!$C$6:$C$60,0)),""),"")</f>
        <v>0</v>
      </c>
      <c r="K35" s="13">
        <f>IF(MONTH(DATE(CalYear,5,30))=5,CHOOSE(WEEKDAY(DATE(CalYear,5,30)),"Su","Mo","Tu","We","Th","Fr","Sa"),"")</f>
        <v>0</v>
      </c>
      <c r="L35" s="14">
        <f>IF(MONTH(DATE(CalYear,5,30))=5,IFERROR(INDEX(Holidays!$B$6:$B$60,MATCH(DATE(CalYear,5,30),Holidays!$C$6:$C$60,0)),""),"")</f>
        <v>0</v>
      </c>
      <c r="M35" s="13">
        <f>IF(MONTH(DATE(CalYear,6,30))=6,CHOOSE(WEEKDAY(DATE(CalYear,6,30)),"Su","Mo","Tu","We","Th","Fr","Sa"),"")</f>
        <v>0</v>
      </c>
      <c r="N35" s="14">
        <f>IF(MONTH(DATE(CalYear,6,30))=6,IFERROR(INDEX(Holidays!$B$6:$B$60,MATCH(DATE(CalYear,6,30),Holidays!$C$6:$C$60,0)),""),"")</f>
        <v>0</v>
      </c>
      <c r="O35" s="13">
        <f>IF(MONTH(DATE(CalYear,7,30))=7,CHOOSE(WEEKDAY(DATE(CalYear,7,30)),"Su","Mo","Tu","We","Th","Fr","Sa"),"")</f>
        <v>0</v>
      </c>
      <c r="P35" s="14">
        <f>IF(MONTH(DATE(CalYear,7,30))=7,IFERROR(INDEX(Holidays!$B$6:$B$60,MATCH(DATE(CalYear,7,30),Holidays!$C$6:$C$60,0)),""),"")</f>
        <v>0</v>
      </c>
      <c r="Q35" s="13">
        <f>IF(MONTH(DATE(CalYear,8,30))=8,CHOOSE(WEEKDAY(DATE(CalYear,8,30)),"Su","Mo","Tu","We","Th","Fr","Sa"),"")</f>
        <v>0</v>
      </c>
      <c r="R35" s="14">
        <f>IF(MONTH(DATE(CalYear,8,30))=8,IFERROR(INDEX(Holidays!$B$6:$B$60,MATCH(DATE(CalYear,8,30),Holidays!$C$6:$C$60,0)),""),"")</f>
        <v>0</v>
      </c>
      <c r="S35" s="13">
        <f>IF(MONTH(DATE(CalYear,9,30))=9,CHOOSE(WEEKDAY(DATE(CalYear,9,30)),"Su","Mo","Tu","We","Th","Fr","Sa"),"")</f>
        <v>0</v>
      </c>
      <c r="T35" s="14">
        <f>IF(MONTH(DATE(CalYear,9,30))=9,IFERROR(INDEX(Holidays!$B$6:$B$60,MATCH(DATE(CalYear,9,30),Holidays!$C$6:$C$60,0)),""),"")</f>
        <v>0</v>
      </c>
      <c r="U35" s="13">
        <f>IF(MONTH(DATE(CalYear,10,30))=10,CHOOSE(WEEKDAY(DATE(CalYear,10,30)),"Su","Mo","Tu","We","Th","Fr","Sa"),"")</f>
        <v>0</v>
      </c>
      <c r="V35" s="14">
        <f>IF(MONTH(DATE(CalYear,10,30))=10,IFERROR(INDEX(Holidays!$B$6:$B$60,MATCH(DATE(CalYear,10,30),Holidays!$C$6:$C$60,0)),""),"")</f>
        <v>0</v>
      </c>
      <c r="W35" s="13">
        <f>IF(MONTH(DATE(CalYear,11,30))=11,CHOOSE(WEEKDAY(DATE(CalYear,11,30)),"Su","Mo","Tu","We","Th","Fr","Sa"),"")</f>
        <v>0</v>
      </c>
      <c r="X35" s="14">
        <f>IF(MONTH(DATE(CalYear,11,30))=11,IFERROR(INDEX(Holidays!$B$6:$B$60,MATCH(DATE(CalYear,11,30),Holidays!$C$6:$C$60,0)),""),"")</f>
        <v>0</v>
      </c>
      <c r="Y35" s="13">
        <f>IF(MONTH(DATE(CalYear,12,30))=12,CHOOSE(WEEKDAY(DATE(CalYear,12,30)),"Su","Mo","Tu","We","Th","Fr","Sa"),"")</f>
        <v>0</v>
      </c>
      <c r="Z35" s="15">
        <f>IF(MONTH(DATE(CalYear,12,30))=12,IFERROR(INDEX(Holidays!$B$6:$B$60,MATCH(DATE(CalYear,12,30),Holidays!$C$6:$C$60,0)),""),"")</f>
        <v>0</v>
      </c>
      <c r="AA35" s="12">
        <v>30</v>
      </c>
    </row>
    <row r="36" spans="2:27" ht="22" customHeight="1">
      <c r="B36" s="16">
        <v>31</v>
      </c>
      <c r="C36" s="17">
        <f>IF(MONTH(DATE(CalYear,1,31))=1,CHOOSE(WEEKDAY(DATE(CalYear,1,31)),"Su","Mo","Tu","We","Th","Fr","Sa"),"")</f>
        <v>0</v>
      </c>
      <c r="D36" s="18">
        <f>IF(MONTH(DATE(CalYear,1,31))=1,IFERROR(INDEX(Holidays!$B$6:$B$60,MATCH(DATE(CalYear,1,31),Holidays!$C$6:$C$60,0)),""),"")</f>
        <v>0</v>
      </c>
      <c r="E36" s="17">
        <f>IF(MONTH(DATE(CalYear,2,31))=2,CHOOSE(WEEKDAY(DATE(CalYear,2,31)),"Su","Mo","Tu","We","Th","Fr","Sa"),"")</f>
        <v>0</v>
      </c>
      <c r="F36" s="18">
        <f>IF(MONTH(DATE(CalYear,2,31))=2,IFERROR(INDEX(Holidays!$B$6:$B$60,MATCH(DATE(CalYear,2,31),Holidays!$C$6:$C$60,0)),""),"")</f>
        <v>0</v>
      </c>
      <c r="G36" s="17">
        <f>IF(MONTH(DATE(CalYear,3,31))=3,CHOOSE(WEEKDAY(DATE(CalYear,3,31)),"Su","Mo","Tu","We","Th","Fr","Sa"),"")</f>
        <v>0</v>
      </c>
      <c r="H36" s="18">
        <f>IF(MONTH(DATE(CalYear,3,31))=3,IFERROR(INDEX(Holidays!$B$6:$B$60,MATCH(DATE(CalYear,3,31),Holidays!$C$6:$C$60,0)),""),"")</f>
        <v>0</v>
      </c>
      <c r="I36" s="17">
        <f>IF(MONTH(DATE(CalYear,4,31))=4,CHOOSE(WEEKDAY(DATE(CalYear,4,31)),"Su","Mo","Tu","We","Th","Fr","Sa"),"")</f>
        <v>0</v>
      </c>
      <c r="J36" s="18">
        <f>IF(MONTH(DATE(CalYear,4,31))=4,IFERROR(INDEX(Holidays!$B$6:$B$60,MATCH(DATE(CalYear,4,31),Holidays!$C$6:$C$60,0)),""),"")</f>
        <v>0</v>
      </c>
      <c r="K36" s="17">
        <f>IF(MONTH(DATE(CalYear,5,31))=5,CHOOSE(WEEKDAY(DATE(CalYear,5,31)),"Su","Mo","Tu","We","Th","Fr","Sa"),"")</f>
        <v>0</v>
      </c>
      <c r="L36" s="18">
        <f>IF(MONTH(DATE(CalYear,5,31))=5,IFERROR(INDEX(Holidays!$B$6:$B$60,MATCH(DATE(CalYear,5,31),Holidays!$C$6:$C$60,0)),""),"")</f>
        <v>0</v>
      </c>
      <c r="M36" s="17">
        <f>IF(MONTH(DATE(CalYear,6,31))=6,CHOOSE(WEEKDAY(DATE(CalYear,6,31)),"Su","Mo","Tu","We","Th","Fr","Sa"),"")</f>
        <v>0</v>
      </c>
      <c r="N36" s="18">
        <f>IF(MONTH(DATE(CalYear,6,31))=6,IFERROR(INDEX(Holidays!$B$6:$B$60,MATCH(DATE(CalYear,6,31),Holidays!$C$6:$C$60,0)),""),"")</f>
        <v>0</v>
      </c>
      <c r="O36" s="17">
        <f>IF(MONTH(DATE(CalYear,7,31))=7,CHOOSE(WEEKDAY(DATE(CalYear,7,31)),"Su","Mo","Tu","We","Th","Fr","Sa"),"")</f>
        <v>0</v>
      </c>
      <c r="P36" s="18">
        <f>IF(MONTH(DATE(CalYear,7,31))=7,IFERROR(INDEX(Holidays!$B$6:$B$60,MATCH(DATE(CalYear,7,31),Holidays!$C$6:$C$60,0)),""),"")</f>
        <v>0</v>
      </c>
      <c r="Q36" s="17">
        <f>IF(MONTH(DATE(CalYear,8,31))=8,CHOOSE(WEEKDAY(DATE(CalYear,8,31)),"Su","Mo","Tu","We","Th","Fr","Sa"),"")</f>
        <v>0</v>
      </c>
      <c r="R36" s="18">
        <f>IF(MONTH(DATE(CalYear,8,31))=8,IFERROR(INDEX(Holidays!$B$6:$B$60,MATCH(DATE(CalYear,8,31),Holidays!$C$6:$C$60,0)),""),"")</f>
        <v>0</v>
      </c>
      <c r="S36" s="17">
        <f>IF(MONTH(DATE(CalYear,9,31))=9,CHOOSE(WEEKDAY(DATE(CalYear,9,31)),"Su","Mo","Tu","We","Th","Fr","Sa"),"")</f>
        <v>0</v>
      </c>
      <c r="T36" s="18">
        <f>IF(MONTH(DATE(CalYear,9,31))=9,IFERROR(INDEX(Holidays!$B$6:$B$60,MATCH(DATE(CalYear,9,31),Holidays!$C$6:$C$60,0)),""),"")</f>
        <v>0</v>
      </c>
      <c r="U36" s="17">
        <f>IF(MONTH(DATE(CalYear,10,31))=10,CHOOSE(WEEKDAY(DATE(CalYear,10,31)),"Su","Mo","Tu","We","Th","Fr","Sa"),"")</f>
        <v>0</v>
      </c>
      <c r="V36" s="18">
        <f>IF(MONTH(DATE(CalYear,10,31))=10,IFERROR(INDEX(Holidays!$B$6:$B$60,MATCH(DATE(CalYear,10,31),Holidays!$C$6:$C$60,0)),""),"")</f>
        <v>0</v>
      </c>
      <c r="W36" s="17">
        <f>IF(MONTH(DATE(CalYear,11,31))=11,CHOOSE(WEEKDAY(DATE(CalYear,11,31)),"Su","Mo","Tu","We","Th","Fr","Sa"),"")</f>
        <v>0</v>
      </c>
      <c r="X36" s="18">
        <f>IF(MONTH(DATE(CalYear,11,31))=11,IFERROR(INDEX(Holidays!$B$6:$B$60,MATCH(DATE(CalYear,11,31),Holidays!$C$6:$C$60,0)),""),"")</f>
        <v>0</v>
      </c>
      <c r="Y36" s="17">
        <f>IF(MONTH(DATE(CalYear,12,31))=12,CHOOSE(WEEKDAY(DATE(CalYear,12,31)),"Su","Mo","Tu","We","Th","Fr","Sa"),"")</f>
        <v>0</v>
      </c>
      <c r="Z36" s="19">
        <f>IF(MONTH(DATE(CalYear,12,31))=12,IFERROR(INDEX(Holidays!$B$6:$B$60,MATCH(DATE(CalYear,12,31),Holidays!$C$6:$C$60,0)),""),"")</f>
        <v>0</v>
      </c>
      <c r="AA36" s="16">
        <v>31</v>
      </c>
    </row>
    <row r="37" spans="2:27">
      <c r="B37" s="20" t="s">
        <v>15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</row>
  </sheetData>
  <mergeCells count="17">
    <mergeCell ref="B2:F2"/>
    <mergeCell ref="G2:N2"/>
    <mergeCell ref="S2:Z2"/>
    <mergeCell ref="B3:Z3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B37:AA37"/>
  </mergeCells>
  <conditionalFormatting sqref="C6:D36">
    <cfRule type="expression" dxfId="0" priority="1" stopIfTrue="1">
      <formula>MONTH(DATE(CalYear,1,$B6))&lt;&gt;1</formula>
    </cfRule>
    <cfRule type="expression" dxfId="1" priority="2" stopIfTrue="1">
      <formula>DATE(CalYear,1,$B6)=TODAY()</formula>
    </cfRule>
    <cfRule type="expression" dxfId="2" priority="3" stopIfTrue="1">
      <formula>COUNTIFS(INDIRECT("Holidays!$C$6:$C$60"),DATE(CalYear,1,$B6),INDIRECT("Holidays!$D$6:$D$60"),"Holiday")&gt;0</formula>
    </cfRule>
    <cfRule type="expression" dxfId="3" priority="4" stopIfTrue="1">
      <formula>COUNTIF(INDIRECT("Holidays!$C$6:$C$60"),DATE(CalYear,1,$B6))&gt;0</formula>
    </cfRule>
    <cfRule type="expression" dxfId="4" priority="5" stopIfTrue="1">
      <formula>OR(WEEKDAY(DATE(CalYear,1,$B6))=1,WEEKDAY(DATE(CalYear,1,$B6))=7)</formula>
    </cfRule>
  </conditionalFormatting>
  <conditionalFormatting sqref="E6:F36">
    <cfRule type="expression" dxfId="0" priority="6" stopIfTrue="1">
      <formula>MONTH(DATE(CalYear,2,$B6))&lt;&gt;2</formula>
    </cfRule>
    <cfRule type="expression" dxfId="1" priority="7" stopIfTrue="1">
      <formula>DATE(CalYear,2,$B6)=TODAY()</formula>
    </cfRule>
    <cfRule type="expression" dxfId="2" priority="8" stopIfTrue="1">
      <formula>COUNTIFS(INDIRECT("Holidays!$C$6:$C$60"),DATE(CalYear,2,$B6),INDIRECT("Holidays!$D$6:$D$60"),"Holiday")&gt;0</formula>
    </cfRule>
    <cfRule type="expression" dxfId="3" priority="9" stopIfTrue="1">
      <formula>COUNTIF(INDIRECT("Holidays!$C$6:$C$60"),DATE(CalYear,2,$B6))&gt;0</formula>
    </cfRule>
    <cfRule type="expression" dxfId="4" priority="10" stopIfTrue="1">
      <formula>OR(WEEKDAY(DATE(CalYear,2,$B6))=1,WEEKDAY(DATE(CalYear,2,$B6))=7)</formula>
    </cfRule>
  </conditionalFormatting>
  <conditionalFormatting sqref="G6:H36">
    <cfRule type="expression" dxfId="0" priority="11" stopIfTrue="1">
      <formula>MONTH(DATE(CalYear,3,$B6))&lt;&gt;3</formula>
    </cfRule>
    <cfRule type="expression" dxfId="1" priority="12" stopIfTrue="1">
      <formula>DATE(CalYear,3,$B6)=TODAY()</formula>
    </cfRule>
    <cfRule type="expression" dxfId="2" priority="13" stopIfTrue="1">
      <formula>COUNTIFS(INDIRECT("Holidays!$C$6:$C$60"),DATE(CalYear,3,$B6),INDIRECT("Holidays!$D$6:$D$60"),"Holiday")&gt;0</formula>
    </cfRule>
    <cfRule type="expression" dxfId="3" priority="14" stopIfTrue="1">
      <formula>COUNTIF(INDIRECT("Holidays!$C$6:$C$60"),DATE(CalYear,3,$B6))&gt;0</formula>
    </cfRule>
    <cfRule type="expression" dxfId="4" priority="15" stopIfTrue="1">
      <formula>OR(WEEKDAY(DATE(CalYear,3,$B6))=1,WEEKDAY(DATE(CalYear,3,$B6))=7)</formula>
    </cfRule>
  </conditionalFormatting>
  <conditionalFormatting sqref="I6:J36">
    <cfRule type="expression" dxfId="0" priority="16" stopIfTrue="1">
      <formula>MONTH(DATE(CalYear,4,$B6))&lt;&gt;4</formula>
    </cfRule>
    <cfRule type="expression" dxfId="1" priority="17" stopIfTrue="1">
      <formula>DATE(CalYear,4,$B6)=TODAY()</formula>
    </cfRule>
    <cfRule type="expression" dxfId="2" priority="18" stopIfTrue="1">
      <formula>COUNTIFS(INDIRECT("Holidays!$C$6:$C$60"),DATE(CalYear,4,$B6),INDIRECT("Holidays!$D$6:$D$60"),"Holiday")&gt;0</formula>
    </cfRule>
    <cfRule type="expression" dxfId="3" priority="19" stopIfTrue="1">
      <formula>COUNTIF(INDIRECT("Holidays!$C$6:$C$60"),DATE(CalYear,4,$B6))&gt;0</formula>
    </cfRule>
    <cfRule type="expression" dxfId="4" priority="20" stopIfTrue="1">
      <formula>OR(WEEKDAY(DATE(CalYear,4,$B6))=1,WEEKDAY(DATE(CalYear,4,$B6))=7)</formula>
    </cfRule>
  </conditionalFormatting>
  <conditionalFormatting sqref="K6:L36">
    <cfRule type="expression" dxfId="0" priority="21" stopIfTrue="1">
      <formula>MONTH(DATE(CalYear,5,$B6))&lt;&gt;5</formula>
    </cfRule>
    <cfRule type="expression" dxfId="1" priority="22" stopIfTrue="1">
      <formula>DATE(CalYear,5,$B6)=TODAY()</formula>
    </cfRule>
    <cfRule type="expression" dxfId="2" priority="23" stopIfTrue="1">
      <formula>COUNTIFS(INDIRECT("Holidays!$C$6:$C$60"),DATE(CalYear,5,$B6),INDIRECT("Holidays!$D$6:$D$60"),"Holiday")&gt;0</formula>
    </cfRule>
    <cfRule type="expression" dxfId="3" priority="24" stopIfTrue="1">
      <formula>COUNTIF(INDIRECT("Holidays!$C$6:$C$60"),DATE(CalYear,5,$B6))&gt;0</formula>
    </cfRule>
    <cfRule type="expression" dxfId="4" priority="25" stopIfTrue="1">
      <formula>OR(WEEKDAY(DATE(CalYear,5,$B6))=1,WEEKDAY(DATE(CalYear,5,$B6))=7)</formula>
    </cfRule>
  </conditionalFormatting>
  <conditionalFormatting sqref="M6:N36">
    <cfRule type="expression" dxfId="0" priority="26" stopIfTrue="1">
      <formula>MONTH(DATE(CalYear,6,$B6))&lt;&gt;6</formula>
    </cfRule>
    <cfRule type="expression" dxfId="1" priority="27" stopIfTrue="1">
      <formula>DATE(CalYear,6,$B6)=TODAY()</formula>
    </cfRule>
    <cfRule type="expression" dxfId="2" priority="28" stopIfTrue="1">
      <formula>COUNTIFS(INDIRECT("Holidays!$C$6:$C$60"),DATE(CalYear,6,$B6),INDIRECT("Holidays!$D$6:$D$60"),"Holiday")&gt;0</formula>
    </cfRule>
    <cfRule type="expression" dxfId="3" priority="29" stopIfTrue="1">
      <formula>COUNTIF(INDIRECT("Holidays!$C$6:$C$60"),DATE(CalYear,6,$B6))&gt;0</formula>
    </cfRule>
    <cfRule type="expression" dxfId="4" priority="30" stopIfTrue="1">
      <formula>OR(WEEKDAY(DATE(CalYear,6,$B6))=1,WEEKDAY(DATE(CalYear,6,$B6))=7)</formula>
    </cfRule>
  </conditionalFormatting>
  <conditionalFormatting sqref="O6:P36">
    <cfRule type="expression" dxfId="0" priority="31" stopIfTrue="1">
      <formula>MONTH(DATE(CalYear,7,$B6))&lt;&gt;7</formula>
    </cfRule>
    <cfRule type="expression" dxfId="1" priority="32" stopIfTrue="1">
      <formula>DATE(CalYear,7,$B6)=TODAY()</formula>
    </cfRule>
    <cfRule type="expression" dxfId="2" priority="33" stopIfTrue="1">
      <formula>COUNTIFS(INDIRECT("Holidays!$C$6:$C$60"),DATE(CalYear,7,$B6),INDIRECT("Holidays!$D$6:$D$60"),"Holiday")&gt;0</formula>
    </cfRule>
    <cfRule type="expression" dxfId="3" priority="34" stopIfTrue="1">
      <formula>COUNTIF(INDIRECT("Holidays!$C$6:$C$60"),DATE(CalYear,7,$B6))&gt;0</formula>
    </cfRule>
    <cfRule type="expression" dxfId="4" priority="35" stopIfTrue="1">
      <formula>OR(WEEKDAY(DATE(CalYear,7,$B6))=1,WEEKDAY(DATE(CalYear,7,$B6))=7)</formula>
    </cfRule>
  </conditionalFormatting>
  <conditionalFormatting sqref="Q6:R36">
    <cfRule type="expression" dxfId="0" priority="36" stopIfTrue="1">
      <formula>MONTH(DATE(CalYear,8,$B6))&lt;&gt;8</formula>
    </cfRule>
    <cfRule type="expression" dxfId="1" priority="37" stopIfTrue="1">
      <formula>DATE(CalYear,8,$B6)=TODAY()</formula>
    </cfRule>
    <cfRule type="expression" dxfId="2" priority="38" stopIfTrue="1">
      <formula>COUNTIFS(INDIRECT("Holidays!$C$6:$C$60"),DATE(CalYear,8,$B6),INDIRECT("Holidays!$D$6:$D$60"),"Holiday")&gt;0</formula>
    </cfRule>
    <cfRule type="expression" dxfId="3" priority="39" stopIfTrue="1">
      <formula>COUNTIF(INDIRECT("Holidays!$C$6:$C$60"),DATE(CalYear,8,$B6))&gt;0</formula>
    </cfRule>
    <cfRule type="expression" dxfId="4" priority="40" stopIfTrue="1">
      <formula>OR(WEEKDAY(DATE(CalYear,8,$B6))=1,WEEKDAY(DATE(CalYear,8,$B6))=7)</formula>
    </cfRule>
  </conditionalFormatting>
  <conditionalFormatting sqref="S6:T36">
    <cfRule type="expression" dxfId="0" priority="41" stopIfTrue="1">
      <formula>MONTH(DATE(CalYear,9,$B6))&lt;&gt;9</formula>
    </cfRule>
    <cfRule type="expression" dxfId="1" priority="42" stopIfTrue="1">
      <formula>DATE(CalYear,9,$B6)=TODAY()</formula>
    </cfRule>
    <cfRule type="expression" dxfId="2" priority="43" stopIfTrue="1">
      <formula>COUNTIFS(INDIRECT("Holidays!$C$6:$C$60"),DATE(CalYear,9,$B6),INDIRECT("Holidays!$D$6:$D$60"),"Holiday")&gt;0</formula>
    </cfRule>
    <cfRule type="expression" dxfId="3" priority="44" stopIfTrue="1">
      <formula>COUNTIF(INDIRECT("Holidays!$C$6:$C$60"),DATE(CalYear,9,$B6))&gt;0</formula>
    </cfRule>
    <cfRule type="expression" dxfId="4" priority="45" stopIfTrue="1">
      <formula>OR(WEEKDAY(DATE(CalYear,9,$B6))=1,WEEKDAY(DATE(CalYear,9,$B6))=7)</formula>
    </cfRule>
  </conditionalFormatting>
  <conditionalFormatting sqref="U6:V36">
    <cfRule type="expression" dxfId="0" priority="46" stopIfTrue="1">
      <formula>MONTH(DATE(CalYear,10,$B6))&lt;&gt;10</formula>
    </cfRule>
    <cfRule type="expression" dxfId="1" priority="47" stopIfTrue="1">
      <formula>DATE(CalYear,10,$B6)=TODAY()</formula>
    </cfRule>
    <cfRule type="expression" dxfId="2" priority="48" stopIfTrue="1">
      <formula>COUNTIFS(INDIRECT("Holidays!$C$6:$C$60"),DATE(CalYear,10,$B6),INDIRECT("Holidays!$D$6:$D$60"),"Holiday")&gt;0</formula>
    </cfRule>
    <cfRule type="expression" dxfId="3" priority="49" stopIfTrue="1">
      <formula>COUNTIF(INDIRECT("Holidays!$C$6:$C$60"),DATE(CalYear,10,$B6))&gt;0</formula>
    </cfRule>
    <cfRule type="expression" dxfId="4" priority="50" stopIfTrue="1">
      <formula>OR(WEEKDAY(DATE(CalYear,10,$B6))=1,WEEKDAY(DATE(CalYear,10,$B6))=7)</formula>
    </cfRule>
  </conditionalFormatting>
  <conditionalFormatting sqref="W6:X36">
    <cfRule type="expression" dxfId="0" priority="51" stopIfTrue="1">
      <formula>MONTH(DATE(CalYear,11,$B6))&lt;&gt;11</formula>
    </cfRule>
    <cfRule type="expression" dxfId="1" priority="52" stopIfTrue="1">
      <formula>DATE(CalYear,11,$B6)=TODAY()</formula>
    </cfRule>
    <cfRule type="expression" dxfId="2" priority="53" stopIfTrue="1">
      <formula>COUNTIFS(INDIRECT("Holidays!$C$6:$C$60"),DATE(CalYear,11,$B6),INDIRECT("Holidays!$D$6:$D$60"),"Holiday")&gt;0</formula>
    </cfRule>
    <cfRule type="expression" dxfId="3" priority="54" stopIfTrue="1">
      <formula>COUNTIF(INDIRECT("Holidays!$C$6:$C$60"),DATE(CalYear,11,$B6))&gt;0</formula>
    </cfRule>
    <cfRule type="expression" dxfId="4" priority="55" stopIfTrue="1">
      <formula>OR(WEEKDAY(DATE(CalYear,11,$B6))=1,WEEKDAY(DATE(CalYear,11,$B6))=7)</formula>
    </cfRule>
  </conditionalFormatting>
  <conditionalFormatting sqref="Y6:Z36">
    <cfRule type="expression" dxfId="0" priority="56" stopIfTrue="1">
      <formula>MONTH(DATE(CalYear,12,$B6))&lt;&gt;12</formula>
    </cfRule>
    <cfRule type="expression" dxfId="1" priority="57" stopIfTrue="1">
      <formula>DATE(CalYear,12,$B6)=TODAY()</formula>
    </cfRule>
    <cfRule type="expression" dxfId="2" priority="58" stopIfTrue="1">
      <formula>COUNTIFS(INDIRECT("Holidays!$C$6:$C$60"),DATE(CalYear,12,$B6),INDIRECT("Holidays!$D$6:$D$60"),"Holiday")&gt;0</formula>
    </cfRule>
    <cfRule type="expression" dxfId="3" priority="59" stopIfTrue="1">
      <formula>COUNTIF(INDIRECT("Holidays!$C$6:$C$60"),DATE(CalYear,12,$B6))&gt;0</formula>
    </cfRule>
    <cfRule type="expression" dxfId="4" priority="60" stopIfTrue="1">
      <formula>OR(WEEKDAY(DATE(CalYear,12,$B6))=1,WEEKDAY(DATE(CalYear,12,$B6))=7)</formula>
    </cfRule>
  </conditionalFormatting>
  <dataValidations count="1">
    <dataValidation type="whole" allowBlank="1" showInputMessage="1" showErrorMessage="1" promptTitle="Type any year" prompt="Weekdays, weekends and holidays update automatically." sqref="B2">
      <formula1>1901</formula1>
      <formula2>9998</formula2>
    </dataValidation>
  </dataValidations>
  <printOptions horizontalCentered="1"/>
  <pageMargins left="0.3" right="0.3" top="0.3" bottom="0.3" header="0.3" footer="0.3"/>
  <pageSetup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6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.7109375" customWidth="1"/>
    <col min="2" max="2" width="34.7109375" customWidth="1"/>
    <col min="3" max="3" width="18.7109375" customWidth="1"/>
    <col min="4" max="4" width="14.7109375" customWidth="1"/>
    <col min="5" max="5" width="3.7109375" customWidth="1"/>
    <col min="6" max="6" width="52.7109375" customWidth="1"/>
  </cols>
  <sheetData>
    <row r="2" spans="2:6" ht="34" customHeight="1">
      <c r="B2" s="21" t="s">
        <v>16</v>
      </c>
    </row>
    <row r="3" spans="2:6">
      <c r="B3" s="22">
        <f>"Dates update automatically for "&amp;CalYear&amp;". Add your own below."</f>
        <v>0</v>
      </c>
    </row>
    <row r="5" spans="2:6">
      <c r="B5" s="23" t="s">
        <v>17</v>
      </c>
      <c r="C5" s="23" t="s">
        <v>18</v>
      </c>
      <c r="D5" s="23" t="s">
        <v>19</v>
      </c>
      <c r="F5" s="24" t="s">
        <v>43</v>
      </c>
    </row>
    <row r="6" spans="2:6">
      <c r="B6" s="25" t="s">
        <v>20</v>
      </c>
      <c r="C6" s="26">
        <f>DATE(CalYear,1,1)</f>
        <v>0</v>
      </c>
      <c r="D6" s="27" t="s">
        <v>21</v>
      </c>
      <c r="F6" s="28" t="s">
        <v>44</v>
      </c>
    </row>
    <row r="7" spans="2:6">
      <c r="B7" s="25" t="s">
        <v>22</v>
      </c>
      <c r="C7" s="26">
        <f>DATE(CalYear,1,1)+MOD(2-WEEKDAY(DATE(CalYear,1,1)),7)+14</f>
        <v>0</v>
      </c>
      <c r="D7" s="27" t="s">
        <v>21</v>
      </c>
      <c r="F7" s="28" t="s">
        <v>45</v>
      </c>
    </row>
    <row r="8" spans="2:6">
      <c r="B8" s="25" t="s">
        <v>23</v>
      </c>
      <c r="C8" s="26">
        <f>DATE(CalYear,2,1)+MOD(2-WEEKDAY(DATE(CalYear,2,1)),7)+14</f>
        <v>0</v>
      </c>
      <c r="D8" s="27" t="s">
        <v>21</v>
      </c>
      <c r="F8" s="28" t="s">
        <v>46</v>
      </c>
    </row>
    <row r="9" spans="2:6">
      <c r="B9" s="25" t="s">
        <v>24</v>
      </c>
      <c r="C9" s="26">
        <f>DATE(CalYear,6,1)-1-MOD(WEEKDAY(DATE(CalYear,6,1)-1)-2,7)</f>
        <v>0</v>
      </c>
      <c r="D9" s="27" t="s">
        <v>21</v>
      </c>
      <c r="F9" s="28" t="s">
        <v>47</v>
      </c>
    </row>
    <row r="10" spans="2:6">
      <c r="B10" s="25" t="s">
        <v>25</v>
      </c>
      <c r="C10" s="26">
        <f>DATE(CalYear,6,19)</f>
        <v>0</v>
      </c>
      <c r="D10" s="27" t="s">
        <v>21</v>
      </c>
      <c r="F10" s="28" t="s">
        <v>48</v>
      </c>
    </row>
    <row r="11" spans="2:6">
      <c r="B11" s="25" t="s">
        <v>26</v>
      </c>
      <c r="C11" s="26">
        <f>DATE(CalYear,7,4)</f>
        <v>0</v>
      </c>
      <c r="D11" s="27" t="s">
        <v>21</v>
      </c>
      <c r="F11" s="28" t="s">
        <v>49</v>
      </c>
    </row>
    <row r="12" spans="2:6">
      <c r="B12" s="25" t="s">
        <v>27</v>
      </c>
      <c r="C12" s="26">
        <f>DATE(CalYear,9,1)+MOD(2-WEEKDAY(DATE(CalYear,9,1)),7)+0</f>
        <v>0</v>
      </c>
      <c r="D12" s="27" t="s">
        <v>21</v>
      </c>
    </row>
    <row r="13" spans="2:6">
      <c r="B13" s="25" t="s">
        <v>28</v>
      </c>
      <c r="C13" s="26">
        <f>DATE(CalYear,10,1)+MOD(2-WEEKDAY(DATE(CalYear,10,1)),7)+7</f>
        <v>0</v>
      </c>
      <c r="D13" s="27" t="s">
        <v>21</v>
      </c>
    </row>
    <row r="14" spans="2:6">
      <c r="B14" s="25" t="s">
        <v>29</v>
      </c>
      <c r="C14" s="26">
        <f>DATE(CalYear,11,11)</f>
        <v>0</v>
      </c>
      <c r="D14" s="27" t="s">
        <v>21</v>
      </c>
    </row>
    <row r="15" spans="2:6">
      <c r="B15" s="25" t="s">
        <v>30</v>
      </c>
      <c r="C15" s="26">
        <f>DATE(CalYear,11,1)+MOD(5-WEEKDAY(DATE(CalYear,11,1)),7)+21</f>
        <v>0</v>
      </c>
      <c r="D15" s="27" t="s">
        <v>21</v>
      </c>
    </row>
    <row r="16" spans="2:6">
      <c r="B16" s="25" t="s">
        <v>31</v>
      </c>
      <c r="C16" s="26">
        <f>DATE(CalYear,12,25)</f>
        <v>0</v>
      </c>
      <c r="D16" s="27" t="s">
        <v>21</v>
      </c>
    </row>
    <row r="17" spans="2:4">
      <c r="B17" s="25">
        <f>IF(C17="","","Juneteenth (obs.)")</f>
        <v>0</v>
      </c>
      <c r="C17" s="26">
        <f>IF(WEEKDAY(DATE(CalYear,6,19))=7,DATE(CalYear,6,19)-1,IF(WEEKDAY(DATE(CalYear,6,19))=1,DATE(CalYear,6,19)+1,""))</f>
        <v>0</v>
      </c>
      <c r="D17" s="27">
        <f>IF(C17="","","Holiday")</f>
        <v>0</v>
      </c>
    </row>
    <row r="18" spans="2:4">
      <c r="B18" s="25">
        <f>IF(C18="","","Independence Day (obs.)")</f>
        <v>0</v>
      </c>
      <c r="C18" s="26">
        <f>IF(WEEKDAY(DATE(CalYear,7,4))=7,DATE(CalYear,7,4)-1,IF(WEEKDAY(DATE(CalYear,7,4))=1,DATE(CalYear,7,4)+1,""))</f>
        <v>0</v>
      </c>
      <c r="D18" s="27">
        <f>IF(C18="","","Holiday")</f>
        <v>0</v>
      </c>
    </row>
    <row r="19" spans="2:4">
      <c r="B19" s="25">
        <f>IF(C19="","","Veterans Day (obs.)")</f>
        <v>0</v>
      </c>
      <c r="C19" s="26">
        <f>IF(WEEKDAY(DATE(CalYear,11,11))=7,DATE(CalYear,11,11)-1,IF(WEEKDAY(DATE(CalYear,11,11))=1,DATE(CalYear,11,11)+1,""))</f>
        <v>0</v>
      </c>
      <c r="D19" s="27">
        <f>IF(C19="","","Holiday")</f>
        <v>0</v>
      </c>
    </row>
    <row r="20" spans="2:4">
      <c r="B20" s="25">
        <f>IF(C20="","","Christmas Day (obs.)")</f>
        <v>0</v>
      </c>
      <c r="C20" s="26">
        <f>IF(WEEKDAY(DATE(CalYear,12,25))=7,DATE(CalYear,12,25)-1,IF(WEEKDAY(DATE(CalYear,12,25))=1,DATE(CalYear,12,25)+1,""))</f>
        <v>0</v>
      </c>
      <c r="D20" s="27">
        <f>IF(C20="","","Holiday")</f>
        <v>0</v>
      </c>
    </row>
    <row r="21" spans="2:4">
      <c r="B21" s="25">
        <f>IF(C21="","","New Year's Day (obs.)")</f>
        <v>0</v>
      </c>
      <c r="C21" s="26">
        <f>IF(WEEKDAY(DATE(CalYear+1,1,1))=7,DATE(CalYear,12,31),"")</f>
        <v>0</v>
      </c>
      <c r="D21" s="27">
        <f>IF(C21="","","Holiday")</f>
        <v>0</v>
      </c>
    </row>
    <row r="22" spans="2:4">
      <c r="B22" s="25" t="s">
        <v>32</v>
      </c>
      <c r="C22" s="26">
        <f>DATE(CalYear,2,14)</f>
        <v>0</v>
      </c>
      <c r="D22" s="27" t="s">
        <v>33</v>
      </c>
    </row>
    <row r="23" spans="2:4">
      <c r="B23" s="25" t="s">
        <v>34</v>
      </c>
      <c r="C23" s="26">
        <f>DATE(CalYear,3,1)+MOD(1-WEEKDAY(DATE(CalYear,3,1)),7)+7</f>
        <v>0</v>
      </c>
      <c r="D23" s="27" t="s">
        <v>33</v>
      </c>
    </row>
    <row r="24" spans="2:4">
      <c r="B24" s="25" t="s">
        <v>35</v>
      </c>
      <c r="C24" s="26">
        <f>DATE(CalYear,3,17)</f>
        <v>0</v>
      </c>
      <c r="D24" s="27" t="s">
        <v>33</v>
      </c>
    </row>
    <row r="25" spans="2:4">
      <c r="B25" s="25" t="s">
        <v>36</v>
      </c>
      <c r="C25" s="26">
        <f>FLOOR(DATE(CalYear,5,DAY(MINUTE(CalYear/38)/2+56)),7)-34</f>
        <v>0</v>
      </c>
      <c r="D25" s="27" t="s">
        <v>33</v>
      </c>
    </row>
    <row r="26" spans="2:4">
      <c r="B26" s="25" t="s">
        <v>37</v>
      </c>
      <c r="C26" s="26">
        <f>DATE(CalYear,5,1)+MOD(1-WEEKDAY(DATE(CalYear,5,1)),7)+7</f>
        <v>0</v>
      </c>
      <c r="D26" s="27" t="s">
        <v>33</v>
      </c>
    </row>
    <row r="27" spans="2:4">
      <c r="B27" s="25" t="s">
        <v>38</v>
      </c>
      <c r="C27" s="26">
        <f>DATE(CalYear,6,1)+MOD(1-WEEKDAY(DATE(CalYear,6,1)),7)+14</f>
        <v>0</v>
      </c>
      <c r="D27" s="27" t="s">
        <v>33</v>
      </c>
    </row>
    <row r="28" spans="2:4">
      <c r="B28" s="25" t="s">
        <v>39</v>
      </c>
      <c r="C28" s="26">
        <f>DATE(CalYear,10,31)</f>
        <v>0</v>
      </c>
      <c r="D28" s="27" t="s">
        <v>33</v>
      </c>
    </row>
    <row r="29" spans="2:4">
      <c r="B29" s="25" t="s">
        <v>40</v>
      </c>
      <c r="C29" s="26">
        <f>DATE(CalYear,11,1)+MOD(1-WEEKDAY(DATE(CalYear,11,1)),7)+0</f>
        <v>0</v>
      </c>
      <c r="D29" s="27" t="s">
        <v>33</v>
      </c>
    </row>
    <row r="30" spans="2:4">
      <c r="B30" s="25" t="s">
        <v>41</v>
      </c>
      <c r="C30" s="26">
        <f>DATE(CalYear,12,24)</f>
        <v>0</v>
      </c>
      <c r="D30" s="27" t="s">
        <v>33</v>
      </c>
    </row>
    <row r="31" spans="2:4">
      <c r="B31" s="25" t="s">
        <v>42</v>
      </c>
      <c r="C31" s="26">
        <f>DATE(CalYear,12,31)</f>
        <v>0</v>
      </c>
      <c r="D31" s="27" t="s">
        <v>33</v>
      </c>
    </row>
    <row r="32" spans="2:4">
      <c r="B32" s="25"/>
      <c r="C32" s="26"/>
      <c r="D32" s="27"/>
    </row>
    <row r="33" spans="2:4">
      <c r="B33" s="25"/>
      <c r="C33" s="26"/>
      <c r="D33" s="27"/>
    </row>
    <row r="34" spans="2:4">
      <c r="B34" s="25"/>
      <c r="C34" s="26"/>
      <c r="D34" s="27"/>
    </row>
    <row r="35" spans="2:4">
      <c r="B35" s="25"/>
      <c r="C35" s="26"/>
      <c r="D35" s="27"/>
    </row>
    <row r="36" spans="2:4">
      <c r="B36" s="25"/>
      <c r="C36" s="26"/>
      <c r="D36" s="27"/>
    </row>
    <row r="37" spans="2:4">
      <c r="B37" s="25"/>
      <c r="C37" s="26"/>
      <c r="D37" s="27"/>
    </row>
    <row r="38" spans="2:4">
      <c r="B38" s="25"/>
      <c r="C38" s="26"/>
      <c r="D38" s="27"/>
    </row>
    <row r="39" spans="2:4">
      <c r="B39" s="25"/>
      <c r="C39" s="26"/>
      <c r="D39" s="27"/>
    </row>
    <row r="40" spans="2:4">
      <c r="B40" s="25"/>
      <c r="C40" s="26"/>
      <c r="D40" s="27"/>
    </row>
    <row r="41" spans="2:4">
      <c r="B41" s="25"/>
      <c r="C41" s="26"/>
      <c r="D41" s="27"/>
    </row>
    <row r="42" spans="2:4">
      <c r="B42" s="25"/>
      <c r="C42" s="26"/>
      <c r="D42" s="27"/>
    </row>
    <row r="43" spans="2:4">
      <c r="B43" s="25"/>
      <c r="C43" s="26"/>
      <c r="D43" s="27"/>
    </row>
    <row r="44" spans="2:4">
      <c r="B44" s="25"/>
      <c r="C44" s="26"/>
      <c r="D44" s="27"/>
    </row>
    <row r="45" spans="2:4">
      <c r="B45" s="25"/>
      <c r="C45" s="26"/>
      <c r="D45" s="27"/>
    </row>
    <row r="46" spans="2:4">
      <c r="B46" s="25"/>
      <c r="C46" s="26"/>
      <c r="D46" s="27"/>
    </row>
    <row r="47" spans="2:4">
      <c r="B47" s="25"/>
      <c r="C47" s="26"/>
      <c r="D47" s="27"/>
    </row>
    <row r="48" spans="2:4">
      <c r="B48" s="25"/>
      <c r="C48" s="26"/>
      <c r="D48" s="27"/>
    </row>
    <row r="49" spans="2:4">
      <c r="B49" s="25"/>
      <c r="C49" s="26"/>
      <c r="D49" s="27"/>
    </row>
    <row r="50" spans="2:4">
      <c r="B50" s="25"/>
      <c r="C50" s="26"/>
      <c r="D50" s="27"/>
    </row>
    <row r="51" spans="2:4">
      <c r="B51" s="25"/>
      <c r="C51" s="26"/>
      <c r="D51" s="27"/>
    </row>
    <row r="52" spans="2:4">
      <c r="B52" s="25"/>
      <c r="C52" s="26"/>
      <c r="D52" s="27"/>
    </row>
    <row r="53" spans="2:4">
      <c r="B53" s="25"/>
      <c r="C53" s="26"/>
      <c r="D53" s="27"/>
    </row>
    <row r="54" spans="2:4">
      <c r="B54" s="25"/>
      <c r="C54" s="26"/>
      <c r="D54" s="27"/>
    </row>
    <row r="55" spans="2:4">
      <c r="B55" s="25"/>
      <c r="C55" s="26"/>
      <c r="D55" s="27"/>
    </row>
    <row r="56" spans="2:4">
      <c r="B56" s="25"/>
      <c r="C56" s="26"/>
      <c r="D56" s="27"/>
    </row>
    <row r="57" spans="2:4">
      <c r="B57" s="25"/>
      <c r="C57" s="26"/>
      <c r="D57" s="27"/>
    </row>
    <row r="58" spans="2:4">
      <c r="B58" s="25"/>
      <c r="C58" s="26"/>
      <c r="D58" s="27"/>
    </row>
    <row r="59" spans="2:4">
      <c r="B59" s="25"/>
      <c r="C59" s="26"/>
      <c r="D59" s="27"/>
    </row>
    <row r="60" spans="2:4">
      <c r="B60" s="25"/>
      <c r="C60" s="26"/>
      <c r="D60" s="27"/>
    </row>
  </sheetData>
  <dataValidations count="2">
    <dataValidation type="list" errorStyle="information" allowBlank="1" showInputMessage="1" showErrorMessage="1" error="Pick a type, or type your own." sqref="D6:D60">
      <formula1>"Holiday,Observance,Personal,Work,School"</formula1>
    </dataValidation>
    <dataValidation type="date" operator="greaterThan" errorStyle="warning" allowBlank="1" showInputMessage="1" showErrorMessage="1" error="Enter a date, e.g. 2027-03-14" sqref="C6:C60">
      <formula1>1</formula1>
    </dataValidation>
  </dataValidations>
  <printOptions horizontalCentered="1"/>
  <pageMargins left="0.4" right="0.4" top="0.4" bottom="0.4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Planner</vt:lpstr>
      <vt:lpstr>Holidays</vt:lpstr>
      <vt:lpstr>CalYear</vt:lpstr>
      <vt:lpstr>Holidays!Print_Area</vt:lpstr>
      <vt:lpstr>Planner!Print_Area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Yearly Planner</dc:title>
  <dc:creator>niftyshelf.com</dc:creator>
  <dc:description>Free editable linear year planner from niftyshelf.com</dc:description>
  <cp:lastModifiedBy>niftyshelf.com</cp:lastModifiedBy>
  <dcterms:created xsi:type="dcterms:W3CDTF">2026-10-21T22:52:35Z</dcterms:created>
  <dcterms:modified xsi:type="dcterms:W3CDTF">2026-10-21T22:52:35Z</dcterms:modified>
</cp:coreProperties>
</file>