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eage Log" sheetId="1" state="visible" r:id="rId1"/>
    <sheet xmlns:r="http://schemas.openxmlformats.org/officeDocument/2006/relationships" name="Monthly Summary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'Mileage Log'!$B$15:$K$315</definedName>
    <definedName name="_xlnm.Print_Titles" localSheetId="0">'Mileage Log'!$15:$15</definedName>
    <definedName name="_xlnm.Print_Area" localSheetId="0">'Mileage Log'!$A$1:$L$317</definedName>
    <definedName name="_xlnm.Print_Area" localSheetId="1">'Monthly Summary'!$A$1:$I$20</definedName>
    <definedName name="_xlnm.Print_Area" localSheetId="2">'How to use'!$A$1:$C$16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&quot;$&quot;0.000"/>
    <numFmt numFmtId="165" formatCode="#,##0.0"/>
    <numFmt numFmtId="166" formatCode="0.0%"/>
    <numFmt numFmtId="167" formatCode="&quot;$&quot;#,##0.00"/>
    <numFmt numFmtId="168" formatCode="yyyy-mm-dd"/>
    <numFmt numFmtId="169" formatCode="m/d/yy"/>
    <numFmt numFmtId="170" formatCode="&quot;$&quot;#,##0.00;-&quot;$&quot;#,##0.00;&quot;&quot;"/>
    <numFmt numFmtId="171" formatCode="#,##0.0;-#,##0.0;&quot;–&quot;"/>
    <numFmt numFmtId="172" formatCode="&quot;$&quot;#,##0.00;-&quot;$&quot;#,##0.00;&quot;–&quot;"/>
  </numFmts>
  <fonts count="23">
    <font>
      <name val="Calibri"/>
      <family val="2"/>
      <color theme="1"/>
      <sz val="11"/>
      <scheme val="minor"/>
    </font>
    <font>
      <name val="Arial"/>
      <b val="1"/>
      <color rgb="00111827"/>
      <sz val="22"/>
    </font>
    <font>
      <name val="Arial"/>
      <color rgb="006B7280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color rgb="00B45309"/>
      <sz val="8"/>
    </font>
    <font>
      <name val="Arial"/>
      <b val="1"/>
      <color rgb="006B7280"/>
      <sz val="7"/>
    </font>
    <font>
      <name val="Arial"/>
      <b val="1"/>
      <color rgb="0015803D"/>
      <sz val="18"/>
    </font>
    <font>
      <name val="Arial"/>
      <b val="1"/>
      <color rgb="00111827"/>
      <sz val="18"/>
    </font>
    <font>
      <name val="Arial"/>
      <color rgb="006B7280"/>
      <sz val="8"/>
    </font>
    <font>
      <name val="Arial"/>
      <b val="1"/>
      <color rgb="00FFFFFF"/>
      <sz val="8"/>
    </font>
    <font>
      <name val="Arial"/>
      <color rgb="00111827"/>
      <sz val="10"/>
    </font>
    <font>
      <name val="Arial"/>
      <color rgb="00111827"/>
      <sz val="9"/>
    </font>
    <font>
      <name val="Arial"/>
      <b val="1"/>
      <color rgb="00111827"/>
      <sz val="9"/>
    </font>
    <font>
      <name val="Arial"/>
      <color rgb="00374151"/>
      <sz val="9"/>
    </font>
    <font>
      <name val="Arial"/>
      <b val="1"/>
      <color rgb="0015803D"/>
      <sz val="10"/>
    </font>
    <font>
      <name val="Arial"/>
      <color rgb="009CA3AF"/>
      <sz val="7"/>
    </font>
    <font>
      <name val="Arial"/>
      <b val="1"/>
      <color rgb="00111827"/>
      <sz val="20"/>
    </font>
    <font>
      <name val="Arial"/>
      <b val="1"/>
      <color rgb="00FFFFFF"/>
      <sz val="10"/>
    </font>
    <font>
      <name val="Arial"/>
      <b val="1"/>
      <color rgb="00111827"/>
      <sz val="16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F7F8FA"/>
        <bgColor rgb="00F7F8FA"/>
      </patternFill>
    </fill>
    <fill>
      <patternFill patternType="solid">
        <fgColor rgb="00111827"/>
        <bgColor rgb="00111827"/>
      </patternFill>
    </fill>
  </fills>
  <borders count="4">
    <border>
      <left/>
      <right/>
      <top/>
      <bottom/>
      <diagonal/>
    </border>
    <border>
      <top style="medium">
        <color rgb="0015803D"/>
      </top>
    </border>
    <border>
      <top style="medium">
        <color rgb="00111827"/>
      </top>
    </border>
    <border>
      <bottom style="thin">
        <color rgb="00E5E7E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3" fillId="0" borderId="0" applyAlignment="1" pivotButton="0" quotePrefix="0" xfId="0">
      <alignment horizontal="right" vertical="center" indent="1"/>
    </xf>
    <xf numFmtId="164" fontId="4" fillId="2" borderId="0" applyAlignment="1" pivotButton="0" quotePrefix="0" xfId="0">
      <alignment horizontal="right" vertical="center" indent="1"/>
    </xf>
    <xf numFmtId="3" fontId="4" fillId="2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right" vertical="center" indent="1"/>
    </xf>
    <xf numFmtId="0" fontId="6" fillId="3" borderId="1" applyAlignment="1" pivotButton="0" quotePrefix="0" xfId="0">
      <alignment vertical="center" indent="1"/>
    </xf>
    <xf numFmtId="0" fontId="0" fillId="3" borderId="1" pivotButton="0" quotePrefix="0" xfId="0"/>
    <xf numFmtId="0" fontId="6" fillId="3" borderId="2" applyAlignment="1" pivotButton="0" quotePrefix="0" xfId="0">
      <alignment vertical="center" indent="1"/>
    </xf>
    <xf numFmtId="0" fontId="0" fillId="3" borderId="2" pivotButton="0" quotePrefix="0" xfId="0"/>
    <xf numFmtId="165" fontId="7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165" fontId="8" fillId="3" borderId="0" applyAlignment="1" pivotButton="0" quotePrefix="0" xfId="0">
      <alignment horizontal="left" vertical="center" indent="1"/>
    </xf>
    <xf numFmtId="1" fontId="8" fillId="3" borderId="0" applyAlignment="1" pivotButton="0" quotePrefix="0" xfId="0">
      <alignment horizontal="left" vertical="center" indent="1"/>
    </xf>
    <xf numFmtId="166" fontId="8" fillId="3" borderId="0" applyAlignment="1" pivotButton="0" quotePrefix="0" xfId="0">
      <alignment horizontal="left" vertical="center" indent="1"/>
    </xf>
    <xf numFmtId="167" fontId="7" fillId="3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left" vertical="center" wrapText="1" indent="1"/>
    </xf>
    <xf numFmtId="0" fontId="10" fillId="4" borderId="0" applyAlignment="1" pivotButton="0" quotePrefix="0" xfId="0">
      <alignment horizontal="right" vertical="center" wrapText="1" indent="1"/>
    </xf>
    <xf numFmtId="169" fontId="12" fillId="0" borderId="3" applyAlignment="1" pivotButton="0" quotePrefix="0" xfId="0">
      <alignment horizontal="left" vertical="center" indent="1"/>
    </xf>
    <xf numFmtId="0" fontId="13" fillId="0" borderId="3" applyAlignment="1" pivotButton="0" quotePrefix="0" xfId="0">
      <alignment horizontal="left" vertical="center" indent="1"/>
    </xf>
    <xf numFmtId="0" fontId="14" fillId="0" borderId="3" applyAlignment="1" pivotButton="0" quotePrefix="0" xfId="0">
      <alignment horizontal="left" vertical="center" indent="1"/>
    </xf>
    <xf numFmtId="165" fontId="14" fillId="0" borderId="3" applyAlignment="1" pivotButton="0" quotePrefix="0" xfId="0">
      <alignment horizontal="right" vertical="center" indent="1"/>
    </xf>
    <xf numFmtId="165" fontId="4" fillId="0" borderId="3" applyAlignment="1" pivotButton="0" quotePrefix="0" xfId="0">
      <alignment horizontal="right" vertical="center" indent="1"/>
    </xf>
    <xf numFmtId="170" fontId="12" fillId="0" borderId="3" applyAlignment="1" pivotButton="0" quotePrefix="0" xfId="0">
      <alignment horizontal="right" vertical="center" indent="1"/>
    </xf>
    <xf numFmtId="167" fontId="15" fillId="0" borderId="3" applyAlignment="1" pivotButton="0" quotePrefix="0" xfId="0">
      <alignment horizontal="right" vertical="center" indent="1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/>
    </xf>
    <xf numFmtId="0" fontId="4" fillId="0" borderId="3" applyAlignment="1" pivotButton="0" quotePrefix="0" xfId="0">
      <alignment horizontal="left" vertical="center" indent="1"/>
    </xf>
    <xf numFmtId="171" fontId="11" fillId="0" borderId="3" applyAlignment="1" pivotButton="0" quotePrefix="0" xfId="0">
      <alignment horizontal="right" vertical="center" indent="1"/>
    </xf>
    <xf numFmtId="172" fontId="11" fillId="0" borderId="3" applyAlignment="1" pivotButton="0" quotePrefix="0" xfId="0">
      <alignment horizontal="right" vertical="center" indent="1"/>
    </xf>
    <xf numFmtId="172" fontId="15" fillId="0" borderId="3" applyAlignment="1" pivotButton="0" quotePrefix="0" xfId="0">
      <alignment horizontal="right" vertical="center" indent="1"/>
    </xf>
    <xf numFmtId="0" fontId="18" fillId="4" borderId="0" applyAlignment="1" pivotButton="0" quotePrefix="0" xfId="0">
      <alignment vertical="center" indent="1"/>
    </xf>
    <xf numFmtId="165" fontId="18" fillId="4" borderId="0" applyAlignment="1" pivotButton="0" quotePrefix="0" xfId="0">
      <alignment horizontal="right" vertical="center" indent="1"/>
    </xf>
    <xf numFmtId="167" fontId="18" fillId="4" borderId="0" applyAlignment="1" pivotButton="0" quotePrefix="0" xfId="0">
      <alignment horizontal="right" vertical="center" indent="1"/>
    </xf>
    <xf numFmtId="0" fontId="19" fillId="0" borderId="0" applyAlignment="1" pivotButton="0" quotePrefix="0" xfId="0">
      <alignment vertical="center"/>
    </xf>
    <xf numFmtId="0" fontId="15" fillId="0" borderId="0" applyAlignment="1" pivotButton="0" quotePrefix="0" xfId="0">
      <alignment horizontal="right" vertical="top" indent="1"/>
    </xf>
    <xf numFmtId="0" fontId="20" fillId="0" borderId="0" applyAlignment="1" pivotButton="0" quotePrefix="0" xfId="0">
      <alignment vertical="top" wrapText="1"/>
    </xf>
    <xf numFmtId="0" fontId="2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22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color rgb="009CA3AF"/>
      </font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317"/>
  <sheetViews>
    <sheetView showGridLines="0" workbookViewId="0">
      <pane xSplit="1" ySplit="15" topLeftCell="B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3" customWidth="1" min="2" max="2"/>
    <col width="11" customWidth="1" min="3" max="3"/>
    <col width="18" customWidth="1" min="4" max="4"/>
    <col width="18" customWidth="1" min="5" max="5"/>
    <col width="26" customWidth="1" min="6" max="6"/>
    <col width="11" customWidth="1" min="7" max="7"/>
    <col width="11" customWidth="1" min="8" max="8"/>
    <col width="9" customWidth="1" min="9" max="9"/>
    <col width="10" customWidth="1" min="10" max="10"/>
    <col width="12" customWidth="1" min="11" max="11"/>
    <col width="2.5" customWidth="1" min="12" max="12"/>
  </cols>
  <sheetData>
    <row r="2" ht="34" customHeight="1">
      <c r="B2" s="1" t="inlineStr">
        <is>
          <t>Mileage Log 2027</t>
        </is>
      </c>
    </row>
    <row r="3">
      <c r="B3" s="2" t="inlineStr">
        <is>
          <t>Record each trip with date, destination, purpose and odometer readings — the details tax records typically ask for.</t>
        </is>
      </c>
    </row>
    <row r="5" ht="20" customHeight="1">
      <c r="B5" s="3" t="inlineStr">
        <is>
          <t>DRIVER</t>
        </is>
      </c>
      <c r="C5" s="4" t="inlineStr">
        <is>
          <t>Your Name</t>
        </is>
      </c>
      <c r="D5" s="5" t="n"/>
      <c r="F5" s="6" t="inlineStr">
        <is>
          <t>RATE PER MILE — BUSINESS</t>
        </is>
      </c>
      <c r="H5" s="7" t="n"/>
    </row>
    <row r="6" ht="20" customHeight="1">
      <c r="B6" s="3" t="inlineStr">
        <is>
          <t>VEHICLE</t>
        </is>
      </c>
      <c r="C6" s="4" t="inlineStr">
        <is>
          <t>2022 Hatchback · Plate ABC-1234</t>
        </is>
      </c>
      <c r="D6" s="5" t="n"/>
      <c r="E6" s="5" t="n"/>
      <c r="F6" s="6" t="inlineStr">
        <is>
          <t>RATE PER MILE — MEDICAL / MOVING</t>
        </is>
      </c>
      <c r="H6" s="7" t="n"/>
    </row>
    <row r="7" ht="20" customHeight="1">
      <c r="B7" s="3" t="inlineStr">
        <is>
          <t>ODOMETER 1/1</t>
        </is>
      </c>
      <c r="C7" s="8" t="n">
        <v>41250</v>
      </c>
      <c r="D7" s="5" t="n"/>
      <c r="F7" s="6" t="inlineStr">
        <is>
          <t>RATE PER MILE — CHARITY</t>
        </is>
      </c>
      <c r="H7" s="7" t="n"/>
    </row>
    <row r="8" ht="20" customHeight="1">
      <c r="B8" s="3" t="inlineStr">
        <is>
          <t>ODOMETER 12/31</t>
        </is>
      </c>
      <c r="C8" s="8" t="n"/>
      <c r="D8" s="5" t="n"/>
      <c r="F8" s="9">
        <f>IF(H5="","⚠ Enter the official 2027 standard mileage rates (published by the IRS at irs.gov) in the tinted cells above.","Rates set — deductions calculate per trip.")</f>
        <v/>
      </c>
    </row>
    <row r="10" ht="18" customHeight="1">
      <c r="B10" s="10" t="inlineStr">
        <is>
          <t>BUSINESS MILES</t>
        </is>
      </c>
      <c r="C10" s="11" t="n"/>
      <c r="D10" s="12" t="inlineStr">
        <is>
          <t>ALL LOGGED MILES</t>
        </is>
      </c>
      <c r="E10" s="12" t="inlineStr">
        <is>
          <t>TRIPS</t>
        </is>
      </c>
      <c r="F10" s="12" t="inlineStr">
        <is>
          <t>BUSINESS USE %</t>
        </is>
      </c>
      <c r="G10" s="13" t="n"/>
      <c r="H10" s="10" t="inlineStr">
        <is>
          <t>EST. DEDUCTION (MILES × RATE + PARKING/TOLLS)</t>
        </is>
      </c>
      <c r="I10" s="11" t="n"/>
      <c r="J10" s="11" t="n"/>
      <c r="K10" s="11" t="n"/>
    </row>
    <row r="11" ht="30" customHeight="1">
      <c r="B11" s="14">
        <f>SUMIF($C$16:$C$315,"Business",$I$16:$I$315)</f>
        <v/>
      </c>
      <c r="C11" s="15" t="n"/>
      <c r="D11" s="16">
        <f>SUM($I$16:$I$315)</f>
        <v/>
      </c>
      <c r="E11" s="17">
        <f>COUNT($B$16:$B$315)</f>
        <v/>
      </c>
      <c r="F11" s="18">
        <f>IF(OR($C$8="",$C$7="",$C$8&lt;=$C$7),"enter odometers",SUMIF($C$16:$C$315,"Business",$I$16:$I$315)/($C$8-$C$7))</f>
        <v/>
      </c>
      <c r="G11" s="15" t="n"/>
      <c r="H11" s="19">
        <f>SUM($K$16:$K$315)</f>
        <v/>
      </c>
      <c r="I11" s="15" t="n"/>
      <c r="J11" s="15" t="n"/>
      <c r="K11" s="15" t="n"/>
    </row>
    <row r="13">
      <c r="B13" s="20" t="inlineStr">
        <is>
          <t>Tip: if you don't record odometer readings, type the trip distance straight into Miles.</t>
        </is>
      </c>
    </row>
    <row r="15" ht="26" customHeight="1">
      <c r="B15" s="21" t="inlineStr">
        <is>
          <t>DATE</t>
        </is>
      </c>
      <c r="C15" s="21" t="inlineStr">
        <is>
          <t>TYPE</t>
        </is>
      </c>
      <c r="D15" s="21" t="inlineStr">
        <is>
          <t>FROM</t>
        </is>
      </c>
      <c r="E15" s="21" t="inlineStr">
        <is>
          <t>TO / DESTINATION</t>
        </is>
      </c>
      <c r="F15" s="21" t="inlineStr">
        <is>
          <t>BUSINESS PURPOSE</t>
        </is>
      </c>
      <c r="G15" s="22" t="inlineStr">
        <is>
          <t>ODOMETER START</t>
        </is>
      </c>
      <c r="H15" s="22" t="inlineStr">
        <is>
          <t>ODOMETER END</t>
        </is>
      </c>
      <c r="I15" s="22" t="inlineStr">
        <is>
          <t>MILES</t>
        </is>
      </c>
      <c r="J15" s="22" t="inlineStr">
        <is>
          <t>PARKING &amp; TOLLS</t>
        </is>
      </c>
      <c r="K15" s="22" t="inlineStr">
        <is>
          <t>DEDUCTION</t>
        </is>
      </c>
    </row>
    <row r="16" ht="19" customHeight="1">
      <c r="B16" s="23" t="n">
        <v>46391</v>
      </c>
      <c r="C16" s="24" t="inlineStr">
        <is>
          <t>Business</t>
        </is>
      </c>
      <c r="D16" s="25" t="inlineStr">
        <is>
          <t>Office</t>
        </is>
      </c>
      <c r="E16" s="25" t="inlineStr">
        <is>
          <t>Client — Northside</t>
        </is>
      </c>
      <c r="F16" s="25" t="inlineStr">
        <is>
          <t>Quarterly review meeting</t>
        </is>
      </c>
      <c r="G16" s="26" t="n">
        <v>41262</v>
      </c>
      <c r="H16" s="26" t="n">
        <v>41291</v>
      </c>
      <c r="I16" s="27">
        <f>IF(AND(ISNUMBER(G16),ISNUMBER(H16)),H16-G16,"")</f>
        <v/>
      </c>
      <c r="J16" s="28" t="n">
        <v>6</v>
      </c>
      <c r="K16" s="29">
        <f>IF(AND(I16="",J16=""),"",ROUND(N(I16)*IF(C16="Business",N($H$5),IF(C16="Medical",N($H$6),IF(C16="Charity",N($H$7),0))),2)+IF(C16="Personal",0,N(J16)))</f>
        <v/>
      </c>
    </row>
    <row r="17" ht="19" customHeight="1">
      <c r="B17" s="23" t="n">
        <v>46393</v>
      </c>
      <c r="C17" s="24" t="inlineStr">
        <is>
          <t>Business</t>
        </is>
      </c>
      <c r="D17" s="25" t="inlineStr">
        <is>
          <t>Office</t>
        </is>
      </c>
      <c r="E17" s="25" t="inlineStr">
        <is>
          <t>Supply warehouse</t>
        </is>
      </c>
      <c r="F17" s="25" t="inlineStr">
        <is>
          <t>Pick up packaging order</t>
        </is>
      </c>
      <c r="G17" s="26" t="n">
        <v>41340</v>
      </c>
      <c r="H17" s="26" t="n">
        <v>41358</v>
      </c>
      <c r="I17" s="27">
        <f>IF(AND(ISNUMBER(G17),ISNUMBER(H17)),H17-G17,"")</f>
        <v/>
      </c>
      <c r="J17" s="28" t="n">
        <v>0</v>
      </c>
      <c r="K17" s="29">
        <f>IF(AND(I17="",J17=""),"",ROUND(N(I17)*IF(C17="Business",N($H$5),IF(C17="Medical",N($H$6),IF(C17="Charity",N($H$7),0))),2)+IF(C17="Personal",0,N(J17)))</f>
        <v/>
      </c>
    </row>
    <row r="18" ht="19" customHeight="1">
      <c r="B18" s="23" t="n">
        <v>46398</v>
      </c>
      <c r="C18" s="24" t="inlineStr">
        <is>
          <t>Business</t>
        </is>
      </c>
      <c r="D18" s="25" t="inlineStr">
        <is>
          <t>Home</t>
        </is>
      </c>
      <c r="E18" s="25" t="inlineStr">
        <is>
          <t>Airport</t>
        </is>
      </c>
      <c r="F18" s="25" t="inlineStr">
        <is>
          <t>Trade show trip — drop-off</t>
        </is>
      </c>
      <c r="G18" s="26" t="n">
        <v>41420</v>
      </c>
      <c r="H18" s="26" t="n">
        <v>41452</v>
      </c>
      <c r="I18" s="27">
        <f>IF(AND(ISNUMBER(G18),ISNUMBER(H18)),H18-G18,"")</f>
        <v/>
      </c>
      <c r="J18" s="28" t="n">
        <v>18</v>
      </c>
      <c r="K18" s="29">
        <f>IF(AND(I18="",J18=""),"",ROUND(N(I18)*IF(C18="Business",N($H$5),IF(C18="Medical",N($H$6),IF(C18="Charity",N($H$7),0))),2)+IF(C18="Personal",0,N(J18)))</f>
        <v/>
      </c>
    </row>
    <row r="19" ht="19" customHeight="1">
      <c r="B19" s="23" t="n">
        <v>46401</v>
      </c>
      <c r="C19" s="24" t="inlineStr">
        <is>
          <t>Medical</t>
        </is>
      </c>
      <c r="D19" s="25" t="inlineStr">
        <is>
          <t>Home</t>
        </is>
      </c>
      <c r="E19" s="25" t="inlineStr">
        <is>
          <t>Clinic</t>
        </is>
      </c>
      <c r="F19" s="25" t="inlineStr">
        <is>
          <t>Physical therapy</t>
        </is>
      </c>
      <c r="G19" s="26" t="n">
        <v>41505</v>
      </c>
      <c r="H19" s="26" t="n">
        <v>41517</v>
      </c>
      <c r="I19" s="27">
        <f>IF(AND(ISNUMBER(G19),ISNUMBER(H19)),H19-G19,"")</f>
        <v/>
      </c>
      <c r="J19" s="28" t="n">
        <v>0</v>
      </c>
      <c r="K19" s="29">
        <f>IF(AND(I19="",J19=""),"",ROUND(N(I19)*IF(C19="Business",N($H$5),IF(C19="Medical",N($H$6),IF(C19="Charity",N($H$7),0))),2)+IF(C19="Personal",0,N(J19)))</f>
        <v/>
      </c>
    </row>
    <row r="20" ht="19" customHeight="1">
      <c r="B20" s="23" t="n">
        <v>46406</v>
      </c>
      <c r="C20" s="24" t="inlineStr">
        <is>
          <t>Business</t>
        </is>
      </c>
      <c r="D20" s="25" t="inlineStr">
        <is>
          <t>Office</t>
        </is>
      </c>
      <c r="E20" s="25" t="inlineStr">
        <is>
          <t>Bank + post office</t>
        </is>
      </c>
      <c r="F20" s="25" t="inlineStr">
        <is>
          <t>Deposits, ship orders</t>
        </is>
      </c>
      <c r="G20" s="26" t="n">
        <v>41588</v>
      </c>
      <c r="H20" s="26" t="n">
        <v>41597.5</v>
      </c>
      <c r="I20" s="27">
        <f>IF(AND(ISNUMBER(G20),ISNUMBER(H20)),H20-G20,"")</f>
        <v/>
      </c>
      <c r="J20" s="28" t="n">
        <v>0</v>
      </c>
      <c r="K20" s="29">
        <f>IF(AND(I20="",J20=""),"",ROUND(N(I20)*IF(C20="Business",N($H$5),IF(C20="Medical",N($H$6),IF(C20="Charity",N($H$7),0))),2)+IF(C20="Personal",0,N(J20)))</f>
        <v/>
      </c>
    </row>
    <row r="21" ht="19" customHeight="1">
      <c r="B21" s="23" t="n">
        <v>46410</v>
      </c>
      <c r="C21" s="24" t="inlineStr">
        <is>
          <t>Charity</t>
        </is>
      </c>
      <c r="D21" s="25" t="inlineStr">
        <is>
          <t>Home</t>
        </is>
      </c>
      <c r="E21" s="25" t="inlineStr">
        <is>
          <t>Food bank</t>
        </is>
      </c>
      <c r="F21" s="25" t="inlineStr">
        <is>
          <t>Volunteer shift</t>
        </is>
      </c>
      <c r="G21" s="26" t="n">
        <v>41650</v>
      </c>
      <c r="H21" s="26" t="n">
        <v>41664</v>
      </c>
      <c r="I21" s="27">
        <f>IF(AND(ISNUMBER(G21),ISNUMBER(H21)),H21-G21,"")</f>
        <v/>
      </c>
      <c r="J21" s="28" t="n">
        <v>0</v>
      </c>
      <c r="K21" s="29">
        <f>IF(AND(I21="",J21=""),"",ROUND(N(I21)*IF(C21="Business",N($H$5),IF(C21="Medical",N($H$6),IF(C21="Charity",N($H$7),0))),2)+IF(C21="Personal",0,N(J21)))</f>
        <v/>
      </c>
    </row>
    <row r="22" ht="19" customHeight="1">
      <c r="B22" s="23" t="n">
        <v>46414</v>
      </c>
      <c r="C22" s="24" t="inlineStr">
        <is>
          <t>Business</t>
        </is>
      </c>
      <c r="D22" s="25" t="inlineStr">
        <is>
          <t>Office</t>
        </is>
      </c>
      <c r="E22" s="25" t="inlineStr">
        <is>
          <t>Client — Lakeview</t>
        </is>
      </c>
      <c r="F22" s="25" t="inlineStr">
        <is>
          <t>Install &amp; training</t>
        </is>
      </c>
      <c r="G22" s="26" t="n">
        <v>41720</v>
      </c>
      <c r="H22" s="26" t="n">
        <v>41768</v>
      </c>
      <c r="I22" s="27">
        <f>IF(AND(ISNUMBER(G22),ISNUMBER(H22)),H22-G22,"")</f>
        <v/>
      </c>
      <c r="J22" s="28" t="n">
        <v>4.5</v>
      </c>
      <c r="K22" s="29">
        <f>IF(AND(I22="",J22=""),"",ROUND(N(I22)*IF(C22="Business",N($H$5),IF(C22="Medical",N($H$6),IF(C22="Charity",N($H$7),0))),2)+IF(C22="Personal",0,N(J22)))</f>
        <v/>
      </c>
    </row>
    <row r="23" ht="19" customHeight="1">
      <c r="B23" s="23" t="n"/>
      <c r="C23" s="24" t="n"/>
      <c r="D23" s="25" t="n"/>
      <c r="E23" s="25" t="n"/>
      <c r="F23" s="25" t="n"/>
      <c r="G23" s="26" t="n"/>
      <c r="H23" s="26" t="n"/>
      <c r="I23" s="27">
        <f>IF(AND(ISNUMBER(G23),ISNUMBER(H23)),H23-G23,"")</f>
        <v/>
      </c>
      <c r="J23" s="28" t="n"/>
      <c r="K23" s="29">
        <f>IF(AND(I23="",J23=""),"",ROUND(N(I23)*IF(C23="Business",N($H$5),IF(C23="Medical",N($H$6),IF(C23="Charity",N($H$7),0))),2)+IF(C23="Personal",0,N(J23)))</f>
        <v/>
      </c>
    </row>
    <row r="24" ht="19" customHeight="1">
      <c r="B24" s="23" t="n"/>
      <c r="C24" s="24" t="n"/>
      <c r="D24" s="25" t="n"/>
      <c r="E24" s="25" t="n"/>
      <c r="F24" s="25" t="n"/>
      <c r="G24" s="26" t="n"/>
      <c r="H24" s="26" t="n"/>
      <c r="I24" s="27">
        <f>IF(AND(ISNUMBER(G24),ISNUMBER(H24)),H24-G24,"")</f>
        <v/>
      </c>
      <c r="J24" s="28" t="n"/>
      <c r="K24" s="29">
        <f>IF(AND(I24="",J24=""),"",ROUND(N(I24)*IF(C24="Business",N($H$5),IF(C24="Medical",N($H$6),IF(C24="Charity",N($H$7),0))),2)+IF(C24="Personal",0,N(J24)))</f>
        <v/>
      </c>
    </row>
    <row r="25" ht="19" customHeight="1">
      <c r="B25" s="23" t="n"/>
      <c r="C25" s="24" t="n"/>
      <c r="D25" s="25" t="n"/>
      <c r="E25" s="25" t="n"/>
      <c r="F25" s="25" t="n"/>
      <c r="G25" s="26" t="n"/>
      <c r="H25" s="26" t="n"/>
      <c r="I25" s="27">
        <f>IF(AND(ISNUMBER(G25),ISNUMBER(H25)),H25-G25,"")</f>
        <v/>
      </c>
      <c r="J25" s="28" t="n"/>
      <c r="K25" s="29">
        <f>IF(AND(I25="",J25=""),"",ROUND(N(I25)*IF(C25="Business",N($H$5),IF(C25="Medical",N($H$6),IF(C25="Charity",N($H$7),0))),2)+IF(C25="Personal",0,N(J25)))</f>
        <v/>
      </c>
    </row>
    <row r="26" ht="19" customHeight="1">
      <c r="B26" s="23" t="n"/>
      <c r="C26" s="24" t="n"/>
      <c r="D26" s="25" t="n"/>
      <c r="E26" s="25" t="n"/>
      <c r="F26" s="25" t="n"/>
      <c r="G26" s="26" t="n"/>
      <c r="H26" s="26" t="n"/>
      <c r="I26" s="27">
        <f>IF(AND(ISNUMBER(G26),ISNUMBER(H26)),H26-G26,"")</f>
        <v/>
      </c>
      <c r="J26" s="28" t="n"/>
      <c r="K26" s="29">
        <f>IF(AND(I26="",J26=""),"",ROUND(N(I26)*IF(C26="Business",N($H$5),IF(C26="Medical",N($H$6),IF(C26="Charity",N($H$7),0))),2)+IF(C26="Personal",0,N(J26)))</f>
        <v/>
      </c>
    </row>
    <row r="27" ht="19" customHeight="1">
      <c r="B27" s="23" t="n"/>
      <c r="C27" s="24" t="n"/>
      <c r="D27" s="25" t="n"/>
      <c r="E27" s="25" t="n"/>
      <c r="F27" s="25" t="n"/>
      <c r="G27" s="26" t="n"/>
      <c r="H27" s="26" t="n"/>
      <c r="I27" s="27">
        <f>IF(AND(ISNUMBER(G27),ISNUMBER(H27)),H27-G27,"")</f>
        <v/>
      </c>
      <c r="J27" s="28" t="n"/>
      <c r="K27" s="29">
        <f>IF(AND(I27="",J27=""),"",ROUND(N(I27)*IF(C27="Business",N($H$5),IF(C27="Medical",N($H$6),IF(C27="Charity",N($H$7),0))),2)+IF(C27="Personal",0,N(J27)))</f>
        <v/>
      </c>
    </row>
    <row r="28" ht="19" customHeight="1">
      <c r="B28" s="23" t="n"/>
      <c r="C28" s="24" t="n"/>
      <c r="D28" s="25" t="n"/>
      <c r="E28" s="25" t="n"/>
      <c r="F28" s="25" t="n"/>
      <c r="G28" s="26" t="n"/>
      <c r="H28" s="26" t="n"/>
      <c r="I28" s="27">
        <f>IF(AND(ISNUMBER(G28),ISNUMBER(H28)),H28-G28,"")</f>
        <v/>
      </c>
      <c r="J28" s="28" t="n"/>
      <c r="K28" s="29">
        <f>IF(AND(I28="",J28=""),"",ROUND(N(I28)*IF(C28="Business",N($H$5),IF(C28="Medical",N($H$6),IF(C28="Charity",N($H$7),0))),2)+IF(C28="Personal",0,N(J28)))</f>
        <v/>
      </c>
    </row>
    <row r="29" ht="19" customHeight="1">
      <c r="B29" s="23" t="n"/>
      <c r="C29" s="24" t="n"/>
      <c r="D29" s="25" t="n"/>
      <c r="E29" s="25" t="n"/>
      <c r="F29" s="25" t="n"/>
      <c r="G29" s="26" t="n"/>
      <c r="H29" s="26" t="n"/>
      <c r="I29" s="27">
        <f>IF(AND(ISNUMBER(G29),ISNUMBER(H29)),H29-G29,"")</f>
        <v/>
      </c>
      <c r="J29" s="28" t="n"/>
      <c r="K29" s="29">
        <f>IF(AND(I29="",J29=""),"",ROUND(N(I29)*IF(C29="Business",N($H$5),IF(C29="Medical",N($H$6),IF(C29="Charity",N($H$7),0))),2)+IF(C29="Personal",0,N(J29)))</f>
        <v/>
      </c>
    </row>
    <row r="30" ht="19" customHeight="1">
      <c r="B30" s="23" t="n"/>
      <c r="C30" s="24" t="n"/>
      <c r="D30" s="25" t="n"/>
      <c r="E30" s="25" t="n"/>
      <c r="F30" s="25" t="n"/>
      <c r="G30" s="26" t="n"/>
      <c r="H30" s="26" t="n"/>
      <c r="I30" s="27">
        <f>IF(AND(ISNUMBER(G30),ISNUMBER(H30)),H30-G30,"")</f>
        <v/>
      </c>
      <c r="J30" s="28" t="n"/>
      <c r="K30" s="29">
        <f>IF(AND(I30="",J30=""),"",ROUND(N(I30)*IF(C30="Business",N($H$5),IF(C30="Medical",N($H$6),IF(C30="Charity",N($H$7),0))),2)+IF(C30="Personal",0,N(J30)))</f>
        <v/>
      </c>
    </row>
    <row r="31" ht="19" customHeight="1">
      <c r="B31" s="23" t="n"/>
      <c r="C31" s="24" t="n"/>
      <c r="D31" s="25" t="n"/>
      <c r="E31" s="25" t="n"/>
      <c r="F31" s="25" t="n"/>
      <c r="G31" s="26" t="n"/>
      <c r="H31" s="26" t="n"/>
      <c r="I31" s="27">
        <f>IF(AND(ISNUMBER(G31),ISNUMBER(H31)),H31-G31,"")</f>
        <v/>
      </c>
      <c r="J31" s="28" t="n"/>
      <c r="K31" s="29">
        <f>IF(AND(I31="",J31=""),"",ROUND(N(I31)*IF(C31="Business",N($H$5),IF(C31="Medical",N($H$6),IF(C31="Charity",N($H$7),0))),2)+IF(C31="Personal",0,N(J31)))</f>
        <v/>
      </c>
    </row>
    <row r="32" ht="19" customHeight="1">
      <c r="B32" s="23" t="n"/>
      <c r="C32" s="24" t="n"/>
      <c r="D32" s="25" t="n"/>
      <c r="E32" s="25" t="n"/>
      <c r="F32" s="25" t="n"/>
      <c r="G32" s="26" t="n"/>
      <c r="H32" s="26" t="n"/>
      <c r="I32" s="27">
        <f>IF(AND(ISNUMBER(G32),ISNUMBER(H32)),H32-G32,"")</f>
        <v/>
      </c>
      <c r="J32" s="28" t="n"/>
      <c r="K32" s="29">
        <f>IF(AND(I32="",J32=""),"",ROUND(N(I32)*IF(C32="Business",N($H$5),IF(C32="Medical",N($H$6),IF(C32="Charity",N($H$7),0))),2)+IF(C32="Personal",0,N(J32)))</f>
        <v/>
      </c>
    </row>
    <row r="33" ht="19" customHeight="1">
      <c r="B33" s="23" t="n"/>
      <c r="C33" s="24" t="n"/>
      <c r="D33" s="25" t="n"/>
      <c r="E33" s="25" t="n"/>
      <c r="F33" s="25" t="n"/>
      <c r="G33" s="26" t="n"/>
      <c r="H33" s="26" t="n"/>
      <c r="I33" s="27">
        <f>IF(AND(ISNUMBER(G33),ISNUMBER(H33)),H33-G33,"")</f>
        <v/>
      </c>
      <c r="J33" s="28" t="n"/>
      <c r="K33" s="29">
        <f>IF(AND(I33="",J33=""),"",ROUND(N(I33)*IF(C33="Business",N($H$5),IF(C33="Medical",N($H$6),IF(C33="Charity",N($H$7),0))),2)+IF(C33="Personal",0,N(J33)))</f>
        <v/>
      </c>
    </row>
    <row r="34" ht="19" customHeight="1">
      <c r="B34" s="23" t="n"/>
      <c r="C34" s="24" t="n"/>
      <c r="D34" s="25" t="n"/>
      <c r="E34" s="25" t="n"/>
      <c r="F34" s="25" t="n"/>
      <c r="G34" s="26" t="n"/>
      <c r="H34" s="26" t="n"/>
      <c r="I34" s="27">
        <f>IF(AND(ISNUMBER(G34),ISNUMBER(H34)),H34-G34,"")</f>
        <v/>
      </c>
      <c r="J34" s="28" t="n"/>
      <c r="K34" s="29">
        <f>IF(AND(I34="",J34=""),"",ROUND(N(I34)*IF(C34="Business",N($H$5),IF(C34="Medical",N($H$6),IF(C34="Charity",N($H$7),0))),2)+IF(C34="Personal",0,N(J34)))</f>
        <v/>
      </c>
    </row>
    <row r="35" ht="19" customHeight="1">
      <c r="B35" s="23" t="n"/>
      <c r="C35" s="24" t="n"/>
      <c r="D35" s="25" t="n"/>
      <c r="E35" s="25" t="n"/>
      <c r="F35" s="25" t="n"/>
      <c r="G35" s="26" t="n"/>
      <c r="H35" s="26" t="n"/>
      <c r="I35" s="27">
        <f>IF(AND(ISNUMBER(G35),ISNUMBER(H35)),H35-G35,"")</f>
        <v/>
      </c>
      <c r="J35" s="28" t="n"/>
      <c r="K35" s="29">
        <f>IF(AND(I35="",J35=""),"",ROUND(N(I35)*IF(C35="Business",N($H$5),IF(C35="Medical",N($H$6),IF(C35="Charity",N($H$7),0))),2)+IF(C35="Personal",0,N(J35)))</f>
        <v/>
      </c>
    </row>
    <row r="36" ht="19" customHeight="1">
      <c r="B36" s="23" t="n"/>
      <c r="C36" s="24" t="n"/>
      <c r="D36" s="25" t="n"/>
      <c r="E36" s="25" t="n"/>
      <c r="F36" s="25" t="n"/>
      <c r="G36" s="26" t="n"/>
      <c r="H36" s="26" t="n"/>
      <c r="I36" s="27">
        <f>IF(AND(ISNUMBER(G36),ISNUMBER(H36)),H36-G36,"")</f>
        <v/>
      </c>
      <c r="J36" s="28" t="n"/>
      <c r="K36" s="29">
        <f>IF(AND(I36="",J36=""),"",ROUND(N(I36)*IF(C36="Business",N($H$5),IF(C36="Medical",N($H$6),IF(C36="Charity",N($H$7),0))),2)+IF(C36="Personal",0,N(J36)))</f>
        <v/>
      </c>
    </row>
    <row r="37" ht="19" customHeight="1">
      <c r="B37" s="23" t="n"/>
      <c r="C37" s="24" t="n"/>
      <c r="D37" s="25" t="n"/>
      <c r="E37" s="25" t="n"/>
      <c r="F37" s="25" t="n"/>
      <c r="G37" s="26" t="n"/>
      <c r="H37" s="26" t="n"/>
      <c r="I37" s="27">
        <f>IF(AND(ISNUMBER(G37),ISNUMBER(H37)),H37-G37,"")</f>
        <v/>
      </c>
      <c r="J37" s="28" t="n"/>
      <c r="K37" s="29">
        <f>IF(AND(I37="",J37=""),"",ROUND(N(I37)*IF(C37="Business",N($H$5),IF(C37="Medical",N($H$6),IF(C37="Charity",N($H$7),0))),2)+IF(C37="Personal",0,N(J37)))</f>
        <v/>
      </c>
    </row>
    <row r="38" ht="19" customHeight="1">
      <c r="B38" s="23" t="n"/>
      <c r="C38" s="24" t="n"/>
      <c r="D38" s="25" t="n"/>
      <c r="E38" s="25" t="n"/>
      <c r="F38" s="25" t="n"/>
      <c r="G38" s="26" t="n"/>
      <c r="H38" s="26" t="n"/>
      <c r="I38" s="27">
        <f>IF(AND(ISNUMBER(G38),ISNUMBER(H38)),H38-G38,"")</f>
        <v/>
      </c>
      <c r="J38" s="28" t="n"/>
      <c r="K38" s="29">
        <f>IF(AND(I38="",J38=""),"",ROUND(N(I38)*IF(C38="Business",N($H$5),IF(C38="Medical",N($H$6),IF(C38="Charity",N($H$7),0))),2)+IF(C38="Personal",0,N(J38)))</f>
        <v/>
      </c>
    </row>
    <row r="39" ht="19" customHeight="1">
      <c r="B39" s="23" t="n"/>
      <c r="C39" s="24" t="n"/>
      <c r="D39" s="25" t="n"/>
      <c r="E39" s="25" t="n"/>
      <c r="F39" s="25" t="n"/>
      <c r="G39" s="26" t="n"/>
      <c r="H39" s="26" t="n"/>
      <c r="I39" s="27">
        <f>IF(AND(ISNUMBER(G39),ISNUMBER(H39)),H39-G39,"")</f>
        <v/>
      </c>
      <c r="J39" s="28" t="n"/>
      <c r="K39" s="29">
        <f>IF(AND(I39="",J39=""),"",ROUND(N(I39)*IF(C39="Business",N($H$5),IF(C39="Medical",N($H$6),IF(C39="Charity",N($H$7),0))),2)+IF(C39="Personal",0,N(J39)))</f>
        <v/>
      </c>
    </row>
    <row r="40" ht="19" customHeight="1">
      <c r="B40" s="23" t="n"/>
      <c r="C40" s="24" t="n"/>
      <c r="D40" s="25" t="n"/>
      <c r="E40" s="25" t="n"/>
      <c r="F40" s="25" t="n"/>
      <c r="G40" s="26" t="n"/>
      <c r="H40" s="26" t="n"/>
      <c r="I40" s="27">
        <f>IF(AND(ISNUMBER(G40),ISNUMBER(H40)),H40-G40,"")</f>
        <v/>
      </c>
      <c r="J40" s="28" t="n"/>
      <c r="K40" s="29">
        <f>IF(AND(I40="",J40=""),"",ROUND(N(I40)*IF(C40="Business",N($H$5),IF(C40="Medical",N($H$6),IF(C40="Charity",N($H$7),0))),2)+IF(C40="Personal",0,N(J40)))</f>
        <v/>
      </c>
    </row>
    <row r="41" ht="19" customHeight="1">
      <c r="B41" s="23" t="n"/>
      <c r="C41" s="24" t="n"/>
      <c r="D41" s="25" t="n"/>
      <c r="E41" s="25" t="n"/>
      <c r="F41" s="25" t="n"/>
      <c r="G41" s="26" t="n"/>
      <c r="H41" s="26" t="n"/>
      <c r="I41" s="27">
        <f>IF(AND(ISNUMBER(G41),ISNUMBER(H41)),H41-G41,"")</f>
        <v/>
      </c>
      <c r="J41" s="28" t="n"/>
      <c r="K41" s="29">
        <f>IF(AND(I41="",J41=""),"",ROUND(N(I41)*IF(C41="Business",N($H$5),IF(C41="Medical",N($H$6),IF(C41="Charity",N($H$7),0))),2)+IF(C41="Personal",0,N(J41)))</f>
        <v/>
      </c>
    </row>
    <row r="42" ht="19" customHeight="1">
      <c r="B42" s="23" t="n"/>
      <c r="C42" s="24" t="n"/>
      <c r="D42" s="25" t="n"/>
      <c r="E42" s="25" t="n"/>
      <c r="F42" s="25" t="n"/>
      <c r="G42" s="26" t="n"/>
      <c r="H42" s="26" t="n"/>
      <c r="I42" s="27">
        <f>IF(AND(ISNUMBER(G42),ISNUMBER(H42)),H42-G42,"")</f>
        <v/>
      </c>
      <c r="J42" s="28" t="n"/>
      <c r="K42" s="29">
        <f>IF(AND(I42="",J42=""),"",ROUND(N(I42)*IF(C42="Business",N($H$5),IF(C42="Medical",N($H$6),IF(C42="Charity",N($H$7),0))),2)+IF(C42="Personal",0,N(J42)))</f>
        <v/>
      </c>
    </row>
    <row r="43" ht="19" customHeight="1">
      <c r="B43" s="23" t="n"/>
      <c r="C43" s="24" t="n"/>
      <c r="D43" s="25" t="n"/>
      <c r="E43" s="25" t="n"/>
      <c r="F43" s="25" t="n"/>
      <c r="G43" s="26" t="n"/>
      <c r="H43" s="26" t="n"/>
      <c r="I43" s="27">
        <f>IF(AND(ISNUMBER(G43),ISNUMBER(H43)),H43-G43,"")</f>
        <v/>
      </c>
      <c r="J43" s="28" t="n"/>
      <c r="K43" s="29">
        <f>IF(AND(I43="",J43=""),"",ROUND(N(I43)*IF(C43="Business",N($H$5),IF(C43="Medical",N($H$6),IF(C43="Charity",N($H$7),0))),2)+IF(C43="Personal",0,N(J43)))</f>
        <v/>
      </c>
    </row>
    <row r="44" ht="19" customHeight="1">
      <c r="B44" s="23" t="n"/>
      <c r="C44" s="24" t="n"/>
      <c r="D44" s="25" t="n"/>
      <c r="E44" s="25" t="n"/>
      <c r="F44" s="25" t="n"/>
      <c r="G44" s="26" t="n"/>
      <c r="H44" s="26" t="n"/>
      <c r="I44" s="27">
        <f>IF(AND(ISNUMBER(G44),ISNUMBER(H44)),H44-G44,"")</f>
        <v/>
      </c>
      <c r="J44" s="28" t="n"/>
      <c r="K44" s="29">
        <f>IF(AND(I44="",J44=""),"",ROUND(N(I44)*IF(C44="Business",N($H$5),IF(C44="Medical",N($H$6),IF(C44="Charity",N($H$7),0))),2)+IF(C44="Personal",0,N(J44)))</f>
        <v/>
      </c>
    </row>
    <row r="45" ht="19" customHeight="1">
      <c r="B45" s="23" t="n"/>
      <c r="C45" s="24" t="n"/>
      <c r="D45" s="25" t="n"/>
      <c r="E45" s="25" t="n"/>
      <c r="F45" s="25" t="n"/>
      <c r="G45" s="26" t="n"/>
      <c r="H45" s="26" t="n"/>
      <c r="I45" s="27">
        <f>IF(AND(ISNUMBER(G45),ISNUMBER(H45)),H45-G45,"")</f>
        <v/>
      </c>
      <c r="J45" s="28" t="n"/>
      <c r="K45" s="29">
        <f>IF(AND(I45="",J45=""),"",ROUND(N(I45)*IF(C45="Business",N($H$5),IF(C45="Medical",N($H$6),IF(C45="Charity",N($H$7),0))),2)+IF(C45="Personal",0,N(J45)))</f>
        <v/>
      </c>
    </row>
    <row r="46" ht="19" customHeight="1">
      <c r="B46" s="23" t="n"/>
      <c r="C46" s="24" t="n"/>
      <c r="D46" s="25" t="n"/>
      <c r="E46" s="25" t="n"/>
      <c r="F46" s="25" t="n"/>
      <c r="G46" s="26" t="n"/>
      <c r="H46" s="26" t="n"/>
      <c r="I46" s="27">
        <f>IF(AND(ISNUMBER(G46),ISNUMBER(H46)),H46-G46,"")</f>
        <v/>
      </c>
      <c r="J46" s="28" t="n"/>
      <c r="K46" s="29">
        <f>IF(AND(I46="",J46=""),"",ROUND(N(I46)*IF(C46="Business",N($H$5),IF(C46="Medical",N($H$6),IF(C46="Charity",N($H$7),0))),2)+IF(C46="Personal",0,N(J46)))</f>
        <v/>
      </c>
    </row>
    <row r="47" ht="19" customHeight="1">
      <c r="B47" s="23" t="n"/>
      <c r="C47" s="24" t="n"/>
      <c r="D47" s="25" t="n"/>
      <c r="E47" s="25" t="n"/>
      <c r="F47" s="25" t="n"/>
      <c r="G47" s="26" t="n"/>
      <c r="H47" s="26" t="n"/>
      <c r="I47" s="27">
        <f>IF(AND(ISNUMBER(G47),ISNUMBER(H47)),H47-G47,"")</f>
        <v/>
      </c>
      <c r="J47" s="28" t="n"/>
      <c r="K47" s="29">
        <f>IF(AND(I47="",J47=""),"",ROUND(N(I47)*IF(C47="Business",N($H$5),IF(C47="Medical",N($H$6),IF(C47="Charity",N($H$7),0))),2)+IF(C47="Personal",0,N(J47)))</f>
        <v/>
      </c>
    </row>
    <row r="48" ht="19" customHeight="1">
      <c r="B48" s="23" t="n"/>
      <c r="C48" s="24" t="n"/>
      <c r="D48" s="25" t="n"/>
      <c r="E48" s="25" t="n"/>
      <c r="F48" s="25" t="n"/>
      <c r="G48" s="26" t="n"/>
      <c r="H48" s="26" t="n"/>
      <c r="I48" s="27">
        <f>IF(AND(ISNUMBER(G48),ISNUMBER(H48)),H48-G48,"")</f>
        <v/>
      </c>
      <c r="J48" s="28" t="n"/>
      <c r="K48" s="29">
        <f>IF(AND(I48="",J48=""),"",ROUND(N(I48)*IF(C48="Business",N($H$5),IF(C48="Medical",N($H$6),IF(C48="Charity",N($H$7),0))),2)+IF(C48="Personal",0,N(J48)))</f>
        <v/>
      </c>
    </row>
    <row r="49" ht="19" customHeight="1">
      <c r="B49" s="23" t="n"/>
      <c r="C49" s="24" t="n"/>
      <c r="D49" s="25" t="n"/>
      <c r="E49" s="25" t="n"/>
      <c r="F49" s="25" t="n"/>
      <c r="G49" s="26" t="n"/>
      <c r="H49" s="26" t="n"/>
      <c r="I49" s="27">
        <f>IF(AND(ISNUMBER(G49),ISNUMBER(H49)),H49-G49,"")</f>
        <v/>
      </c>
      <c r="J49" s="28" t="n"/>
      <c r="K49" s="29">
        <f>IF(AND(I49="",J49=""),"",ROUND(N(I49)*IF(C49="Business",N($H$5),IF(C49="Medical",N($H$6),IF(C49="Charity",N($H$7),0))),2)+IF(C49="Personal",0,N(J49)))</f>
        <v/>
      </c>
    </row>
    <row r="50" ht="19" customHeight="1">
      <c r="B50" s="23" t="n"/>
      <c r="C50" s="24" t="n"/>
      <c r="D50" s="25" t="n"/>
      <c r="E50" s="25" t="n"/>
      <c r="F50" s="25" t="n"/>
      <c r="G50" s="26" t="n"/>
      <c r="H50" s="26" t="n"/>
      <c r="I50" s="27">
        <f>IF(AND(ISNUMBER(G50),ISNUMBER(H50)),H50-G50,"")</f>
        <v/>
      </c>
      <c r="J50" s="28" t="n"/>
      <c r="K50" s="29">
        <f>IF(AND(I50="",J50=""),"",ROUND(N(I50)*IF(C50="Business",N($H$5),IF(C50="Medical",N($H$6),IF(C50="Charity",N($H$7),0))),2)+IF(C50="Personal",0,N(J50)))</f>
        <v/>
      </c>
    </row>
    <row r="51" ht="19" customHeight="1">
      <c r="B51" s="23" t="n"/>
      <c r="C51" s="24" t="n"/>
      <c r="D51" s="25" t="n"/>
      <c r="E51" s="25" t="n"/>
      <c r="F51" s="25" t="n"/>
      <c r="G51" s="26" t="n"/>
      <c r="H51" s="26" t="n"/>
      <c r="I51" s="27">
        <f>IF(AND(ISNUMBER(G51),ISNUMBER(H51)),H51-G51,"")</f>
        <v/>
      </c>
      <c r="J51" s="28" t="n"/>
      <c r="K51" s="29">
        <f>IF(AND(I51="",J51=""),"",ROUND(N(I51)*IF(C51="Business",N($H$5),IF(C51="Medical",N($H$6),IF(C51="Charity",N($H$7),0))),2)+IF(C51="Personal",0,N(J51)))</f>
        <v/>
      </c>
    </row>
    <row r="52" ht="19" customHeight="1">
      <c r="B52" s="23" t="n"/>
      <c r="C52" s="24" t="n"/>
      <c r="D52" s="25" t="n"/>
      <c r="E52" s="25" t="n"/>
      <c r="F52" s="25" t="n"/>
      <c r="G52" s="26" t="n"/>
      <c r="H52" s="26" t="n"/>
      <c r="I52" s="27">
        <f>IF(AND(ISNUMBER(G52),ISNUMBER(H52)),H52-G52,"")</f>
        <v/>
      </c>
      <c r="J52" s="28" t="n"/>
      <c r="K52" s="29">
        <f>IF(AND(I52="",J52=""),"",ROUND(N(I52)*IF(C52="Business",N($H$5),IF(C52="Medical",N($H$6),IF(C52="Charity",N($H$7),0))),2)+IF(C52="Personal",0,N(J52)))</f>
        <v/>
      </c>
    </row>
    <row r="53" ht="19" customHeight="1">
      <c r="B53" s="23" t="n"/>
      <c r="C53" s="24" t="n"/>
      <c r="D53" s="25" t="n"/>
      <c r="E53" s="25" t="n"/>
      <c r="F53" s="25" t="n"/>
      <c r="G53" s="26" t="n"/>
      <c r="H53" s="26" t="n"/>
      <c r="I53" s="27">
        <f>IF(AND(ISNUMBER(G53),ISNUMBER(H53)),H53-G53,"")</f>
        <v/>
      </c>
      <c r="J53" s="28" t="n"/>
      <c r="K53" s="29">
        <f>IF(AND(I53="",J53=""),"",ROUND(N(I53)*IF(C53="Business",N($H$5),IF(C53="Medical",N($H$6),IF(C53="Charity",N($H$7),0))),2)+IF(C53="Personal",0,N(J53)))</f>
        <v/>
      </c>
    </row>
    <row r="54" ht="19" customHeight="1">
      <c r="B54" s="23" t="n"/>
      <c r="C54" s="24" t="n"/>
      <c r="D54" s="25" t="n"/>
      <c r="E54" s="25" t="n"/>
      <c r="F54" s="25" t="n"/>
      <c r="G54" s="26" t="n"/>
      <c r="H54" s="26" t="n"/>
      <c r="I54" s="27">
        <f>IF(AND(ISNUMBER(G54),ISNUMBER(H54)),H54-G54,"")</f>
        <v/>
      </c>
      <c r="J54" s="28" t="n"/>
      <c r="K54" s="29">
        <f>IF(AND(I54="",J54=""),"",ROUND(N(I54)*IF(C54="Business",N($H$5),IF(C54="Medical",N($H$6),IF(C54="Charity",N($H$7),0))),2)+IF(C54="Personal",0,N(J54)))</f>
        <v/>
      </c>
    </row>
    <row r="55" ht="19" customHeight="1">
      <c r="B55" s="23" t="n"/>
      <c r="C55" s="24" t="n"/>
      <c r="D55" s="25" t="n"/>
      <c r="E55" s="25" t="n"/>
      <c r="F55" s="25" t="n"/>
      <c r="G55" s="26" t="n"/>
      <c r="H55" s="26" t="n"/>
      <c r="I55" s="27">
        <f>IF(AND(ISNUMBER(G55),ISNUMBER(H55)),H55-G55,"")</f>
        <v/>
      </c>
      <c r="J55" s="28" t="n"/>
      <c r="K55" s="29">
        <f>IF(AND(I55="",J55=""),"",ROUND(N(I55)*IF(C55="Business",N($H$5),IF(C55="Medical",N($H$6),IF(C55="Charity",N($H$7),0))),2)+IF(C55="Personal",0,N(J55)))</f>
        <v/>
      </c>
    </row>
    <row r="56" ht="19" customHeight="1">
      <c r="B56" s="23" t="n"/>
      <c r="C56" s="24" t="n"/>
      <c r="D56" s="25" t="n"/>
      <c r="E56" s="25" t="n"/>
      <c r="F56" s="25" t="n"/>
      <c r="G56" s="26" t="n"/>
      <c r="H56" s="26" t="n"/>
      <c r="I56" s="27">
        <f>IF(AND(ISNUMBER(G56),ISNUMBER(H56)),H56-G56,"")</f>
        <v/>
      </c>
      <c r="J56" s="28" t="n"/>
      <c r="K56" s="29">
        <f>IF(AND(I56="",J56=""),"",ROUND(N(I56)*IF(C56="Business",N($H$5),IF(C56="Medical",N($H$6),IF(C56="Charity",N($H$7),0))),2)+IF(C56="Personal",0,N(J56)))</f>
        <v/>
      </c>
    </row>
    <row r="57" ht="19" customHeight="1">
      <c r="B57" s="23" t="n"/>
      <c r="C57" s="24" t="n"/>
      <c r="D57" s="25" t="n"/>
      <c r="E57" s="25" t="n"/>
      <c r="F57" s="25" t="n"/>
      <c r="G57" s="26" t="n"/>
      <c r="H57" s="26" t="n"/>
      <c r="I57" s="27">
        <f>IF(AND(ISNUMBER(G57),ISNUMBER(H57)),H57-G57,"")</f>
        <v/>
      </c>
      <c r="J57" s="28" t="n"/>
      <c r="K57" s="29">
        <f>IF(AND(I57="",J57=""),"",ROUND(N(I57)*IF(C57="Business",N($H$5),IF(C57="Medical",N($H$6),IF(C57="Charity",N($H$7),0))),2)+IF(C57="Personal",0,N(J57)))</f>
        <v/>
      </c>
    </row>
    <row r="58" ht="19" customHeight="1">
      <c r="B58" s="23" t="n"/>
      <c r="C58" s="24" t="n"/>
      <c r="D58" s="25" t="n"/>
      <c r="E58" s="25" t="n"/>
      <c r="F58" s="25" t="n"/>
      <c r="G58" s="26" t="n"/>
      <c r="H58" s="26" t="n"/>
      <c r="I58" s="27">
        <f>IF(AND(ISNUMBER(G58),ISNUMBER(H58)),H58-G58,"")</f>
        <v/>
      </c>
      <c r="J58" s="28" t="n"/>
      <c r="K58" s="29">
        <f>IF(AND(I58="",J58=""),"",ROUND(N(I58)*IF(C58="Business",N($H$5),IF(C58="Medical",N($H$6),IF(C58="Charity",N($H$7),0))),2)+IF(C58="Personal",0,N(J58)))</f>
        <v/>
      </c>
    </row>
    <row r="59" ht="19" customHeight="1">
      <c r="B59" s="23" t="n"/>
      <c r="C59" s="24" t="n"/>
      <c r="D59" s="25" t="n"/>
      <c r="E59" s="25" t="n"/>
      <c r="F59" s="25" t="n"/>
      <c r="G59" s="26" t="n"/>
      <c r="H59" s="26" t="n"/>
      <c r="I59" s="27">
        <f>IF(AND(ISNUMBER(G59),ISNUMBER(H59)),H59-G59,"")</f>
        <v/>
      </c>
      <c r="J59" s="28" t="n"/>
      <c r="K59" s="29">
        <f>IF(AND(I59="",J59=""),"",ROUND(N(I59)*IF(C59="Business",N($H$5),IF(C59="Medical",N($H$6),IF(C59="Charity",N($H$7),0))),2)+IF(C59="Personal",0,N(J59)))</f>
        <v/>
      </c>
    </row>
    <row r="60" ht="19" customHeight="1">
      <c r="B60" s="23" t="n"/>
      <c r="C60" s="24" t="n"/>
      <c r="D60" s="25" t="n"/>
      <c r="E60" s="25" t="n"/>
      <c r="F60" s="25" t="n"/>
      <c r="G60" s="26" t="n"/>
      <c r="H60" s="26" t="n"/>
      <c r="I60" s="27">
        <f>IF(AND(ISNUMBER(G60),ISNUMBER(H60)),H60-G60,"")</f>
        <v/>
      </c>
      <c r="J60" s="28" t="n"/>
      <c r="K60" s="29">
        <f>IF(AND(I60="",J60=""),"",ROUND(N(I60)*IF(C60="Business",N($H$5),IF(C60="Medical",N($H$6),IF(C60="Charity",N($H$7),0))),2)+IF(C60="Personal",0,N(J60)))</f>
        <v/>
      </c>
    </row>
    <row r="61" ht="19" customHeight="1">
      <c r="B61" s="23" t="n"/>
      <c r="C61" s="24" t="n"/>
      <c r="D61" s="25" t="n"/>
      <c r="E61" s="25" t="n"/>
      <c r="F61" s="25" t="n"/>
      <c r="G61" s="26" t="n"/>
      <c r="H61" s="26" t="n"/>
      <c r="I61" s="27">
        <f>IF(AND(ISNUMBER(G61),ISNUMBER(H61)),H61-G61,"")</f>
        <v/>
      </c>
      <c r="J61" s="28" t="n"/>
      <c r="K61" s="29">
        <f>IF(AND(I61="",J61=""),"",ROUND(N(I61)*IF(C61="Business",N($H$5),IF(C61="Medical",N($H$6),IF(C61="Charity",N($H$7),0))),2)+IF(C61="Personal",0,N(J61)))</f>
        <v/>
      </c>
    </row>
    <row r="62" ht="19" customHeight="1">
      <c r="B62" s="23" t="n"/>
      <c r="C62" s="24" t="n"/>
      <c r="D62" s="25" t="n"/>
      <c r="E62" s="25" t="n"/>
      <c r="F62" s="25" t="n"/>
      <c r="G62" s="26" t="n"/>
      <c r="H62" s="26" t="n"/>
      <c r="I62" s="27">
        <f>IF(AND(ISNUMBER(G62),ISNUMBER(H62)),H62-G62,"")</f>
        <v/>
      </c>
      <c r="J62" s="28" t="n"/>
      <c r="K62" s="29">
        <f>IF(AND(I62="",J62=""),"",ROUND(N(I62)*IF(C62="Business",N($H$5),IF(C62="Medical",N($H$6),IF(C62="Charity",N($H$7),0))),2)+IF(C62="Personal",0,N(J62)))</f>
        <v/>
      </c>
    </row>
    <row r="63" ht="19" customHeight="1">
      <c r="B63" s="23" t="n"/>
      <c r="C63" s="24" t="n"/>
      <c r="D63" s="25" t="n"/>
      <c r="E63" s="25" t="n"/>
      <c r="F63" s="25" t="n"/>
      <c r="G63" s="26" t="n"/>
      <c r="H63" s="26" t="n"/>
      <c r="I63" s="27">
        <f>IF(AND(ISNUMBER(G63),ISNUMBER(H63)),H63-G63,"")</f>
        <v/>
      </c>
      <c r="J63" s="28" t="n"/>
      <c r="K63" s="29">
        <f>IF(AND(I63="",J63=""),"",ROUND(N(I63)*IF(C63="Business",N($H$5),IF(C63="Medical",N($H$6),IF(C63="Charity",N($H$7),0))),2)+IF(C63="Personal",0,N(J63)))</f>
        <v/>
      </c>
    </row>
    <row r="64" ht="19" customHeight="1">
      <c r="B64" s="23" t="n"/>
      <c r="C64" s="24" t="n"/>
      <c r="D64" s="25" t="n"/>
      <c r="E64" s="25" t="n"/>
      <c r="F64" s="25" t="n"/>
      <c r="G64" s="26" t="n"/>
      <c r="H64" s="26" t="n"/>
      <c r="I64" s="27">
        <f>IF(AND(ISNUMBER(G64),ISNUMBER(H64)),H64-G64,"")</f>
        <v/>
      </c>
      <c r="J64" s="28" t="n"/>
      <c r="K64" s="29">
        <f>IF(AND(I64="",J64=""),"",ROUND(N(I64)*IF(C64="Business",N($H$5),IF(C64="Medical",N($H$6),IF(C64="Charity",N($H$7),0))),2)+IF(C64="Personal",0,N(J64)))</f>
        <v/>
      </c>
    </row>
    <row r="65" ht="19" customHeight="1">
      <c r="B65" s="23" t="n"/>
      <c r="C65" s="24" t="n"/>
      <c r="D65" s="25" t="n"/>
      <c r="E65" s="25" t="n"/>
      <c r="F65" s="25" t="n"/>
      <c r="G65" s="26" t="n"/>
      <c r="H65" s="26" t="n"/>
      <c r="I65" s="27">
        <f>IF(AND(ISNUMBER(G65),ISNUMBER(H65)),H65-G65,"")</f>
        <v/>
      </c>
      <c r="J65" s="28" t="n"/>
      <c r="K65" s="29">
        <f>IF(AND(I65="",J65=""),"",ROUND(N(I65)*IF(C65="Business",N($H$5),IF(C65="Medical",N($H$6),IF(C65="Charity",N($H$7),0))),2)+IF(C65="Personal",0,N(J65)))</f>
        <v/>
      </c>
    </row>
    <row r="66" ht="19" customHeight="1">
      <c r="B66" s="23" t="n"/>
      <c r="C66" s="24" t="n"/>
      <c r="D66" s="25" t="n"/>
      <c r="E66" s="25" t="n"/>
      <c r="F66" s="25" t="n"/>
      <c r="G66" s="26" t="n"/>
      <c r="H66" s="26" t="n"/>
      <c r="I66" s="27">
        <f>IF(AND(ISNUMBER(G66),ISNUMBER(H66)),H66-G66,"")</f>
        <v/>
      </c>
      <c r="J66" s="28" t="n"/>
      <c r="K66" s="29">
        <f>IF(AND(I66="",J66=""),"",ROUND(N(I66)*IF(C66="Business",N($H$5),IF(C66="Medical",N($H$6),IF(C66="Charity",N($H$7),0))),2)+IF(C66="Personal",0,N(J66)))</f>
        <v/>
      </c>
    </row>
    <row r="67" ht="19" customHeight="1">
      <c r="B67" s="23" t="n"/>
      <c r="C67" s="24" t="n"/>
      <c r="D67" s="25" t="n"/>
      <c r="E67" s="25" t="n"/>
      <c r="F67" s="25" t="n"/>
      <c r="G67" s="26" t="n"/>
      <c r="H67" s="26" t="n"/>
      <c r="I67" s="27">
        <f>IF(AND(ISNUMBER(G67),ISNUMBER(H67)),H67-G67,"")</f>
        <v/>
      </c>
      <c r="J67" s="28" t="n"/>
      <c r="K67" s="29">
        <f>IF(AND(I67="",J67=""),"",ROUND(N(I67)*IF(C67="Business",N($H$5),IF(C67="Medical",N($H$6),IF(C67="Charity",N($H$7),0))),2)+IF(C67="Personal",0,N(J67)))</f>
        <v/>
      </c>
    </row>
    <row r="68" ht="19" customHeight="1">
      <c r="B68" s="23" t="n"/>
      <c r="C68" s="24" t="n"/>
      <c r="D68" s="25" t="n"/>
      <c r="E68" s="25" t="n"/>
      <c r="F68" s="25" t="n"/>
      <c r="G68" s="26" t="n"/>
      <c r="H68" s="26" t="n"/>
      <c r="I68" s="27">
        <f>IF(AND(ISNUMBER(G68),ISNUMBER(H68)),H68-G68,"")</f>
        <v/>
      </c>
      <c r="J68" s="28" t="n"/>
      <c r="K68" s="29">
        <f>IF(AND(I68="",J68=""),"",ROUND(N(I68)*IF(C68="Business",N($H$5),IF(C68="Medical",N($H$6),IF(C68="Charity",N($H$7),0))),2)+IF(C68="Personal",0,N(J68)))</f>
        <v/>
      </c>
    </row>
    <row r="69" ht="19" customHeight="1">
      <c r="B69" s="23" t="n"/>
      <c r="C69" s="24" t="n"/>
      <c r="D69" s="25" t="n"/>
      <c r="E69" s="25" t="n"/>
      <c r="F69" s="25" t="n"/>
      <c r="G69" s="26" t="n"/>
      <c r="H69" s="26" t="n"/>
      <c r="I69" s="27">
        <f>IF(AND(ISNUMBER(G69),ISNUMBER(H69)),H69-G69,"")</f>
        <v/>
      </c>
      <c r="J69" s="28" t="n"/>
      <c r="K69" s="29">
        <f>IF(AND(I69="",J69=""),"",ROUND(N(I69)*IF(C69="Business",N($H$5),IF(C69="Medical",N($H$6),IF(C69="Charity",N($H$7),0))),2)+IF(C69="Personal",0,N(J69)))</f>
        <v/>
      </c>
    </row>
    <row r="70" ht="19" customHeight="1">
      <c r="B70" s="23" t="n"/>
      <c r="C70" s="24" t="n"/>
      <c r="D70" s="25" t="n"/>
      <c r="E70" s="25" t="n"/>
      <c r="F70" s="25" t="n"/>
      <c r="G70" s="26" t="n"/>
      <c r="H70" s="26" t="n"/>
      <c r="I70" s="27">
        <f>IF(AND(ISNUMBER(G70),ISNUMBER(H70)),H70-G70,"")</f>
        <v/>
      </c>
      <c r="J70" s="28" t="n"/>
      <c r="K70" s="29">
        <f>IF(AND(I70="",J70=""),"",ROUND(N(I70)*IF(C70="Business",N($H$5),IF(C70="Medical",N($H$6),IF(C70="Charity",N($H$7),0))),2)+IF(C70="Personal",0,N(J70)))</f>
        <v/>
      </c>
    </row>
    <row r="71" ht="19" customHeight="1">
      <c r="B71" s="23" t="n"/>
      <c r="C71" s="24" t="n"/>
      <c r="D71" s="25" t="n"/>
      <c r="E71" s="25" t="n"/>
      <c r="F71" s="25" t="n"/>
      <c r="G71" s="26" t="n"/>
      <c r="H71" s="26" t="n"/>
      <c r="I71" s="27">
        <f>IF(AND(ISNUMBER(G71),ISNUMBER(H71)),H71-G71,"")</f>
        <v/>
      </c>
      <c r="J71" s="28" t="n"/>
      <c r="K71" s="29">
        <f>IF(AND(I71="",J71=""),"",ROUND(N(I71)*IF(C71="Business",N($H$5),IF(C71="Medical",N($H$6),IF(C71="Charity",N($H$7),0))),2)+IF(C71="Personal",0,N(J71)))</f>
        <v/>
      </c>
    </row>
    <row r="72" ht="19" customHeight="1">
      <c r="B72" s="23" t="n"/>
      <c r="C72" s="24" t="n"/>
      <c r="D72" s="25" t="n"/>
      <c r="E72" s="25" t="n"/>
      <c r="F72" s="25" t="n"/>
      <c r="G72" s="26" t="n"/>
      <c r="H72" s="26" t="n"/>
      <c r="I72" s="27">
        <f>IF(AND(ISNUMBER(G72),ISNUMBER(H72)),H72-G72,"")</f>
        <v/>
      </c>
      <c r="J72" s="28" t="n"/>
      <c r="K72" s="29">
        <f>IF(AND(I72="",J72=""),"",ROUND(N(I72)*IF(C72="Business",N($H$5),IF(C72="Medical",N($H$6),IF(C72="Charity",N($H$7),0))),2)+IF(C72="Personal",0,N(J72)))</f>
        <v/>
      </c>
    </row>
    <row r="73" ht="19" customHeight="1">
      <c r="B73" s="23" t="n"/>
      <c r="C73" s="24" t="n"/>
      <c r="D73" s="25" t="n"/>
      <c r="E73" s="25" t="n"/>
      <c r="F73" s="25" t="n"/>
      <c r="G73" s="26" t="n"/>
      <c r="H73" s="26" t="n"/>
      <c r="I73" s="27">
        <f>IF(AND(ISNUMBER(G73),ISNUMBER(H73)),H73-G73,"")</f>
        <v/>
      </c>
      <c r="J73" s="28" t="n"/>
      <c r="K73" s="29">
        <f>IF(AND(I73="",J73=""),"",ROUND(N(I73)*IF(C73="Business",N($H$5),IF(C73="Medical",N($H$6),IF(C73="Charity",N($H$7),0))),2)+IF(C73="Personal",0,N(J73)))</f>
        <v/>
      </c>
    </row>
    <row r="74" ht="19" customHeight="1">
      <c r="B74" s="23" t="n"/>
      <c r="C74" s="24" t="n"/>
      <c r="D74" s="25" t="n"/>
      <c r="E74" s="25" t="n"/>
      <c r="F74" s="25" t="n"/>
      <c r="G74" s="26" t="n"/>
      <c r="H74" s="26" t="n"/>
      <c r="I74" s="27">
        <f>IF(AND(ISNUMBER(G74),ISNUMBER(H74)),H74-G74,"")</f>
        <v/>
      </c>
      <c r="J74" s="28" t="n"/>
      <c r="K74" s="29">
        <f>IF(AND(I74="",J74=""),"",ROUND(N(I74)*IF(C74="Business",N($H$5),IF(C74="Medical",N($H$6),IF(C74="Charity",N($H$7),0))),2)+IF(C74="Personal",0,N(J74)))</f>
        <v/>
      </c>
    </row>
    <row r="75" ht="19" customHeight="1">
      <c r="B75" s="23" t="n"/>
      <c r="C75" s="24" t="n"/>
      <c r="D75" s="25" t="n"/>
      <c r="E75" s="25" t="n"/>
      <c r="F75" s="25" t="n"/>
      <c r="G75" s="26" t="n"/>
      <c r="H75" s="26" t="n"/>
      <c r="I75" s="27">
        <f>IF(AND(ISNUMBER(G75),ISNUMBER(H75)),H75-G75,"")</f>
        <v/>
      </c>
      <c r="J75" s="28" t="n"/>
      <c r="K75" s="29">
        <f>IF(AND(I75="",J75=""),"",ROUND(N(I75)*IF(C75="Business",N($H$5),IF(C75="Medical",N($H$6),IF(C75="Charity",N($H$7),0))),2)+IF(C75="Personal",0,N(J75)))</f>
        <v/>
      </c>
    </row>
    <row r="76" ht="19" customHeight="1">
      <c r="B76" s="23" t="n"/>
      <c r="C76" s="24" t="n"/>
      <c r="D76" s="25" t="n"/>
      <c r="E76" s="25" t="n"/>
      <c r="F76" s="25" t="n"/>
      <c r="G76" s="26" t="n"/>
      <c r="H76" s="26" t="n"/>
      <c r="I76" s="27">
        <f>IF(AND(ISNUMBER(G76),ISNUMBER(H76)),H76-G76,"")</f>
        <v/>
      </c>
      <c r="J76" s="28" t="n"/>
      <c r="K76" s="29">
        <f>IF(AND(I76="",J76=""),"",ROUND(N(I76)*IF(C76="Business",N($H$5),IF(C76="Medical",N($H$6),IF(C76="Charity",N($H$7),0))),2)+IF(C76="Personal",0,N(J76)))</f>
        <v/>
      </c>
    </row>
    <row r="77" ht="19" customHeight="1">
      <c r="B77" s="23" t="n"/>
      <c r="C77" s="24" t="n"/>
      <c r="D77" s="25" t="n"/>
      <c r="E77" s="25" t="n"/>
      <c r="F77" s="25" t="n"/>
      <c r="G77" s="26" t="n"/>
      <c r="H77" s="26" t="n"/>
      <c r="I77" s="27">
        <f>IF(AND(ISNUMBER(G77),ISNUMBER(H77)),H77-G77,"")</f>
        <v/>
      </c>
      <c r="J77" s="28" t="n"/>
      <c r="K77" s="29">
        <f>IF(AND(I77="",J77=""),"",ROUND(N(I77)*IF(C77="Business",N($H$5),IF(C77="Medical",N($H$6),IF(C77="Charity",N($H$7),0))),2)+IF(C77="Personal",0,N(J77)))</f>
        <v/>
      </c>
    </row>
    <row r="78" ht="19" customHeight="1">
      <c r="B78" s="23" t="n"/>
      <c r="C78" s="24" t="n"/>
      <c r="D78" s="25" t="n"/>
      <c r="E78" s="25" t="n"/>
      <c r="F78" s="25" t="n"/>
      <c r="G78" s="26" t="n"/>
      <c r="H78" s="26" t="n"/>
      <c r="I78" s="27">
        <f>IF(AND(ISNUMBER(G78),ISNUMBER(H78)),H78-G78,"")</f>
        <v/>
      </c>
      <c r="J78" s="28" t="n"/>
      <c r="K78" s="29">
        <f>IF(AND(I78="",J78=""),"",ROUND(N(I78)*IF(C78="Business",N($H$5),IF(C78="Medical",N($H$6),IF(C78="Charity",N($H$7),0))),2)+IF(C78="Personal",0,N(J78)))</f>
        <v/>
      </c>
    </row>
    <row r="79" ht="19" customHeight="1">
      <c r="B79" s="23" t="n"/>
      <c r="C79" s="24" t="n"/>
      <c r="D79" s="25" t="n"/>
      <c r="E79" s="25" t="n"/>
      <c r="F79" s="25" t="n"/>
      <c r="G79" s="26" t="n"/>
      <c r="H79" s="26" t="n"/>
      <c r="I79" s="27">
        <f>IF(AND(ISNUMBER(G79),ISNUMBER(H79)),H79-G79,"")</f>
        <v/>
      </c>
      <c r="J79" s="28" t="n"/>
      <c r="K79" s="29">
        <f>IF(AND(I79="",J79=""),"",ROUND(N(I79)*IF(C79="Business",N($H$5),IF(C79="Medical",N($H$6),IF(C79="Charity",N($H$7),0))),2)+IF(C79="Personal",0,N(J79)))</f>
        <v/>
      </c>
    </row>
    <row r="80" ht="19" customHeight="1">
      <c r="B80" s="23" t="n"/>
      <c r="C80" s="24" t="n"/>
      <c r="D80" s="25" t="n"/>
      <c r="E80" s="25" t="n"/>
      <c r="F80" s="25" t="n"/>
      <c r="G80" s="26" t="n"/>
      <c r="H80" s="26" t="n"/>
      <c r="I80" s="27">
        <f>IF(AND(ISNUMBER(G80),ISNUMBER(H80)),H80-G80,"")</f>
        <v/>
      </c>
      <c r="J80" s="28" t="n"/>
      <c r="K80" s="29">
        <f>IF(AND(I80="",J80=""),"",ROUND(N(I80)*IF(C80="Business",N($H$5),IF(C80="Medical",N($H$6),IF(C80="Charity",N($H$7),0))),2)+IF(C80="Personal",0,N(J80)))</f>
        <v/>
      </c>
    </row>
    <row r="81" ht="19" customHeight="1">
      <c r="B81" s="23" t="n"/>
      <c r="C81" s="24" t="n"/>
      <c r="D81" s="25" t="n"/>
      <c r="E81" s="25" t="n"/>
      <c r="F81" s="25" t="n"/>
      <c r="G81" s="26" t="n"/>
      <c r="H81" s="26" t="n"/>
      <c r="I81" s="27">
        <f>IF(AND(ISNUMBER(G81),ISNUMBER(H81)),H81-G81,"")</f>
        <v/>
      </c>
      <c r="J81" s="28" t="n"/>
      <c r="K81" s="29">
        <f>IF(AND(I81="",J81=""),"",ROUND(N(I81)*IF(C81="Business",N($H$5),IF(C81="Medical",N($H$6),IF(C81="Charity",N($H$7),0))),2)+IF(C81="Personal",0,N(J81)))</f>
        <v/>
      </c>
    </row>
    <row r="82" ht="19" customHeight="1">
      <c r="B82" s="23" t="n"/>
      <c r="C82" s="24" t="n"/>
      <c r="D82" s="25" t="n"/>
      <c r="E82" s="25" t="n"/>
      <c r="F82" s="25" t="n"/>
      <c r="G82" s="26" t="n"/>
      <c r="H82" s="26" t="n"/>
      <c r="I82" s="27">
        <f>IF(AND(ISNUMBER(G82),ISNUMBER(H82)),H82-G82,"")</f>
        <v/>
      </c>
      <c r="J82" s="28" t="n"/>
      <c r="K82" s="29">
        <f>IF(AND(I82="",J82=""),"",ROUND(N(I82)*IF(C82="Business",N($H$5),IF(C82="Medical",N($H$6),IF(C82="Charity",N($H$7),0))),2)+IF(C82="Personal",0,N(J82)))</f>
        <v/>
      </c>
    </row>
    <row r="83" ht="19" customHeight="1">
      <c r="B83" s="23" t="n"/>
      <c r="C83" s="24" t="n"/>
      <c r="D83" s="25" t="n"/>
      <c r="E83" s="25" t="n"/>
      <c r="F83" s="25" t="n"/>
      <c r="G83" s="26" t="n"/>
      <c r="H83" s="26" t="n"/>
      <c r="I83" s="27">
        <f>IF(AND(ISNUMBER(G83),ISNUMBER(H83)),H83-G83,"")</f>
        <v/>
      </c>
      <c r="J83" s="28" t="n"/>
      <c r="K83" s="29">
        <f>IF(AND(I83="",J83=""),"",ROUND(N(I83)*IF(C83="Business",N($H$5),IF(C83="Medical",N($H$6),IF(C83="Charity",N($H$7),0))),2)+IF(C83="Personal",0,N(J83)))</f>
        <v/>
      </c>
    </row>
    <row r="84" ht="19" customHeight="1">
      <c r="B84" s="23" t="n"/>
      <c r="C84" s="24" t="n"/>
      <c r="D84" s="25" t="n"/>
      <c r="E84" s="25" t="n"/>
      <c r="F84" s="25" t="n"/>
      <c r="G84" s="26" t="n"/>
      <c r="H84" s="26" t="n"/>
      <c r="I84" s="27">
        <f>IF(AND(ISNUMBER(G84),ISNUMBER(H84)),H84-G84,"")</f>
        <v/>
      </c>
      <c r="J84" s="28" t="n"/>
      <c r="K84" s="29">
        <f>IF(AND(I84="",J84=""),"",ROUND(N(I84)*IF(C84="Business",N($H$5),IF(C84="Medical",N($H$6),IF(C84="Charity",N($H$7),0))),2)+IF(C84="Personal",0,N(J84)))</f>
        <v/>
      </c>
    </row>
    <row r="85" ht="19" customHeight="1">
      <c r="B85" s="23" t="n"/>
      <c r="C85" s="24" t="n"/>
      <c r="D85" s="25" t="n"/>
      <c r="E85" s="25" t="n"/>
      <c r="F85" s="25" t="n"/>
      <c r="G85" s="26" t="n"/>
      <c r="H85" s="26" t="n"/>
      <c r="I85" s="27">
        <f>IF(AND(ISNUMBER(G85),ISNUMBER(H85)),H85-G85,"")</f>
        <v/>
      </c>
      <c r="J85" s="28" t="n"/>
      <c r="K85" s="29">
        <f>IF(AND(I85="",J85=""),"",ROUND(N(I85)*IF(C85="Business",N($H$5),IF(C85="Medical",N($H$6),IF(C85="Charity",N($H$7),0))),2)+IF(C85="Personal",0,N(J85)))</f>
        <v/>
      </c>
    </row>
    <row r="86" ht="19" customHeight="1">
      <c r="B86" s="23" t="n"/>
      <c r="C86" s="24" t="n"/>
      <c r="D86" s="25" t="n"/>
      <c r="E86" s="25" t="n"/>
      <c r="F86" s="25" t="n"/>
      <c r="G86" s="26" t="n"/>
      <c r="H86" s="26" t="n"/>
      <c r="I86" s="27">
        <f>IF(AND(ISNUMBER(G86),ISNUMBER(H86)),H86-G86,"")</f>
        <v/>
      </c>
      <c r="J86" s="28" t="n"/>
      <c r="K86" s="29">
        <f>IF(AND(I86="",J86=""),"",ROUND(N(I86)*IF(C86="Business",N($H$5),IF(C86="Medical",N($H$6),IF(C86="Charity",N($H$7),0))),2)+IF(C86="Personal",0,N(J86)))</f>
        <v/>
      </c>
    </row>
    <row r="87" ht="19" customHeight="1">
      <c r="B87" s="23" t="n"/>
      <c r="C87" s="24" t="n"/>
      <c r="D87" s="25" t="n"/>
      <c r="E87" s="25" t="n"/>
      <c r="F87" s="25" t="n"/>
      <c r="G87" s="26" t="n"/>
      <c r="H87" s="26" t="n"/>
      <c r="I87" s="27">
        <f>IF(AND(ISNUMBER(G87),ISNUMBER(H87)),H87-G87,"")</f>
        <v/>
      </c>
      <c r="J87" s="28" t="n"/>
      <c r="K87" s="29">
        <f>IF(AND(I87="",J87=""),"",ROUND(N(I87)*IF(C87="Business",N($H$5),IF(C87="Medical",N($H$6),IF(C87="Charity",N($H$7),0))),2)+IF(C87="Personal",0,N(J87)))</f>
        <v/>
      </c>
    </row>
    <row r="88" ht="19" customHeight="1">
      <c r="B88" s="23" t="n"/>
      <c r="C88" s="24" t="n"/>
      <c r="D88" s="25" t="n"/>
      <c r="E88" s="25" t="n"/>
      <c r="F88" s="25" t="n"/>
      <c r="G88" s="26" t="n"/>
      <c r="H88" s="26" t="n"/>
      <c r="I88" s="27">
        <f>IF(AND(ISNUMBER(G88),ISNUMBER(H88)),H88-G88,"")</f>
        <v/>
      </c>
      <c r="J88" s="28" t="n"/>
      <c r="K88" s="29">
        <f>IF(AND(I88="",J88=""),"",ROUND(N(I88)*IF(C88="Business",N($H$5),IF(C88="Medical",N($H$6),IF(C88="Charity",N($H$7),0))),2)+IF(C88="Personal",0,N(J88)))</f>
        <v/>
      </c>
    </row>
    <row r="89" ht="19" customHeight="1">
      <c r="B89" s="23" t="n"/>
      <c r="C89" s="24" t="n"/>
      <c r="D89" s="25" t="n"/>
      <c r="E89" s="25" t="n"/>
      <c r="F89" s="25" t="n"/>
      <c r="G89" s="26" t="n"/>
      <c r="H89" s="26" t="n"/>
      <c r="I89" s="27">
        <f>IF(AND(ISNUMBER(G89),ISNUMBER(H89)),H89-G89,"")</f>
        <v/>
      </c>
      <c r="J89" s="28" t="n"/>
      <c r="K89" s="29">
        <f>IF(AND(I89="",J89=""),"",ROUND(N(I89)*IF(C89="Business",N($H$5),IF(C89="Medical",N($H$6),IF(C89="Charity",N($H$7),0))),2)+IF(C89="Personal",0,N(J89)))</f>
        <v/>
      </c>
    </row>
    <row r="90" ht="19" customHeight="1">
      <c r="B90" s="23" t="n"/>
      <c r="C90" s="24" t="n"/>
      <c r="D90" s="25" t="n"/>
      <c r="E90" s="25" t="n"/>
      <c r="F90" s="25" t="n"/>
      <c r="G90" s="26" t="n"/>
      <c r="H90" s="26" t="n"/>
      <c r="I90" s="27">
        <f>IF(AND(ISNUMBER(G90),ISNUMBER(H90)),H90-G90,"")</f>
        <v/>
      </c>
      <c r="J90" s="28" t="n"/>
      <c r="K90" s="29">
        <f>IF(AND(I90="",J90=""),"",ROUND(N(I90)*IF(C90="Business",N($H$5),IF(C90="Medical",N($H$6),IF(C90="Charity",N($H$7),0))),2)+IF(C90="Personal",0,N(J90)))</f>
        <v/>
      </c>
    </row>
    <row r="91" ht="19" customHeight="1">
      <c r="B91" s="23" t="n"/>
      <c r="C91" s="24" t="n"/>
      <c r="D91" s="25" t="n"/>
      <c r="E91" s="25" t="n"/>
      <c r="F91" s="25" t="n"/>
      <c r="G91" s="26" t="n"/>
      <c r="H91" s="26" t="n"/>
      <c r="I91" s="27">
        <f>IF(AND(ISNUMBER(G91),ISNUMBER(H91)),H91-G91,"")</f>
        <v/>
      </c>
      <c r="J91" s="28" t="n"/>
      <c r="K91" s="29">
        <f>IF(AND(I91="",J91=""),"",ROUND(N(I91)*IF(C91="Business",N($H$5),IF(C91="Medical",N($H$6),IF(C91="Charity",N($H$7),0))),2)+IF(C91="Personal",0,N(J91)))</f>
        <v/>
      </c>
    </row>
    <row r="92" ht="19" customHeight="1">
      <c r="B92" s="23" t="n"/>
      <c r="C92" s="24" t="n"/>
      <c r="D92" s="25" t="n"/>
      <c r="E92" s="25" t="n"/>
      <c r="F92" s="25" t="n"/>
      <c r="G92" s="26" t="n"/>
      <c r="H92" s="26" t="n"/>
      <c r="I92" s="27">
        <f>IF(AND(ISNUMBER(G92),ISNUMBER(H92)),H92-G92,"")</f>
        <v/>
      </c>
      <c r="J92" s="28" t="n"/>
      <c r="K92" s="29">
        <f>IF(AND(I92="",J92=""),"",ROUND(N(I92)*IF(C92="Business",N($H$5),IF(C92="Medical",N($H$6),IF(C92="Charity",N($H$7),0))),2)+IF(C92="Personal",0,N(J92)))</f>
        <v/>
      </c>
    </row>
    <row r="93" ht="19" customHeight="1">
      <c r="B93" s="23" t="n"/>
      <c r="C93" s="24" t="n"/>
      <c r="D93" s="25" t="n"/>
      <c r="E93" s="25" t="n"/>
      <c r="F93" s="25" t="n"/>
      <c r="G93" s="26" t="n"/>
      <c r="H93" s="26" t="n"/>
      <c r="I93" s="27">
        <f>IF(AND(ISNUMBER(G93),ISNUMBER(H93)),H93-G93,"")</f>
        <v/>
      </c>
      <c r="J93" s="28" t="n"/>
      <c r="K93" s="29">
        <f>IF(AND(I93="",J93=""),"",ROUND(N(I93)*IF(C93="Business",N($H$5),IF(C93="Medical",N($H$6),IF(C93="Charity",N($H$7),0))),2)+IF(C93="Personal",0,N(J93)))</f>
        <v/>
      </c>
    </row>
    <row r="94" ht="19" customHeight="1">
      <c r="B94" s="23" t="n"/>
      <c r="C94" s="24" t="n"/>
      <c r="D94" s="25" t="n"/>
      <c r="E94" s="25" t="n"/>
      <c r="F94" s="25" t="n"/>
      <c r="G94" s="26" t="n"/>
      <c r="H94" s="26" t="n"/>
      <c r="I94" s="27">
        <f>IF(AND(ISNUMBER(G94),ISNUMBER(H94)),H94-G94,"")</f>
        <v/>
      </c>
      <c r="J94" s="28" t="n"/>
      <c r="K94" s="29">
        <f>IF(AND(I94="",J94=""),"",ROUND(N(I94)*IF(C94="Business",N($H$5),IF(C94="Medical",N($H$6),IF(C94="Charity",N($H$7),0))),2)+IF(C94="Personal",0,N(J94)))</f>
        <v/>
      </c>
    </row>
    <row r="95" ht="19" customHeight="1">
      <c r="B95" s="23" t="n"/>
      <c r="C95" s="24" t="n"/>
      <c r="D95" s="25" t="n"/>
      <c r="E95" s="25" t="n"/>
      <c r="F95" s="25" t="n"/>
      <c r="G95" s="26" t="n"/>
      <c r="H95" s="26" t="n"/>
      <c r="I95" s="27">
        <f>IF(AND(ISNUMBER(G95),ISNUMBER(H95)),H95-G95,"")</f>
        <v/>
      </c>
      <c r="J95" s="28" t="n"/>
      <c r="K95" s="29">
        <f>IF(AND(I95="",J95=""),"",ROUND(N(I95)*IF(C95="Business",N($H$5),IF(C95="Medical",N($H$6),IF(C95="Charity",N($H$7),0))),2)+IF(C95="Personal",0,N(J95)))</f>
        <v/>
      </c>
    </row>
    <row r="96" ht="19" customHeight="1">
      <c r="B96" s="23" t="n"/>
      <c r="C96" s="24" t="n"/>
      <c r="D96" s="25" t="n"/>
      <c r="E96" s="25" t="n"/>
      <c r="F96" s="25" t="n"/>
      <c r="G96" s="26" t="n"/>
      <c r="H96" s="26" t="n"/>
      <c r="I96" s="27">
        <f>IF(AND(ISNUMBER(G96),ISNUMBER(H96)),H96-G96,"")</f>
        <v/>
      </c>
      <c r="J96" s="28" t="n"/>
      <c r="K96" s="29">
        <f>IF(AND(I96="",J96=""),"",ROUND(N(I96)*IF(C96="Business",N($H$5),IF(C96="Medical",N($H$6),IF(C96="Charity",N($H$7),0))),2)+IF(C96="Personal",0,N(J96)))</f>
        <v/>
      </c>
    </row>
    <row r="97" ht="19" customHeight="1">
      <c r="B97" s="23" t="n"/>
      <c r="C97" s="24" t="n"/>
      <c r="D97" s="25" t="n"/>
      <c r="E97" s="25" t="n"/>
      <c r="F97" s="25" t="n"/>
      <c r="G97" s="26" t="n"/>
      <c r="H97" s="26" t="n"/>
      <c r="I97" s="27">
        <f>IF(AND(ISNUMBER(G97),ISNUMBER(H97)),H97-G97,"")</f>
        <v/>
      </c>
      <c r="J97" s="28" t="n"/>
      <c r="K97" s="29">
        <f>IF(AND(I97="",J97=""),"",ROUND(N(I97)*IF(C97="Business",N($H$5),IF(C97="Medical",N($H$6),IF(C97="Charity",N($H$7),0))),2)+IF(C97="Personal",0,N(J97)))</f>
        <v/>
      </c>
    </row>
    <row r="98" ht="19" customHeight="1">
      <c r="B98" s="23" t="n"/>
      <c r="C98" s="24" t="n"/>
      <c r="D98" s="25" t="n"/>
      <c r="E98" s="25" t="n"/>
      <c r="F98" s="25" t="n"/>
      <c r="G98" s="26" t="n"/>
      <c r="H98" s="26" t="n"/>
      <c r="I98" s="27">
        <f>IF(AND(ISNUMBER(G98),ISNUMBER(H98)),H98-G98,"")</f>
        <v/>
      </c>
      <c r="J98" s="28" t="n"/>
      <c r="K98" s="29">
        <f>IF(AND(I98="",J98=""),"",ROUND(N(I98)*IF(C98="Business",N($H$5),IF(C98="Medical",N($H$6),IF(C98="Charity",N($H$7),0))),2)+IF(C98="Personal",0,N(J98)))</f>
        <v/>
      </c>
    </row>
    <row r="99" ht="19" customHeight="1">
      <c r="B99" s="23" t="n"/>
      <c r="C99" s="24" t="n"/>
      <c r="D99" s="25" t="n"/>
      <c r="E99" s="25" t="n"/>
      <c r="F99" s="25" t="n"/>
      <c r="G99" s="26" t="n"/>
      <c r="H99" s="26" t="n"/>
      <c r="I99" s="27">
        <f>IF(AND(ISNUMBER(G99),ISNUMBER(H99)),H99-G99,"")</f>
        <v/>
      </c>
      <c r="J99" s="28" t="n"/>
      <c r="K99" s="29">
        <f>IF(AND(I99="",J99=""),"",ROUND(N(I99)*IF(C99="Business",N($H$5),IF(C99="Medical",N($H$6),IF(C99="Charity",N($H$7),0))),2)+IF(C99="Personal",0,N(J99)))</f>
        <v/>
      </c>
    </row>
    <row r="100" ht="19" customHeight="1">
      <c r="B100" s="23" t="n"/>
      <c r="C100" s="24" t="n"/>
      <c r="D100" s="25" t="n"/>
      <c r="E100" s="25" t="n"/>
      <c r="F100" s="25" t="n"/>
      <c r="G100" s="26" t="n"/>
      <c r="H100" s="26" t="n"/>
      <c r="I100" s="27">
        <f>IF(AND(ISNUMBER(G100),ISNUMBER(H100)),H100-G100,"")</f>
        <v/>
      </c>
      <c r="J100" s="28" t="n"/>
      <c r="K100" s="29">
        <f>IF(AND(I100="",J100=""),"",ROUND(N(I100)*IF(C100="Business",N($H$5),IF(C100="Medical",N($H$6),IF(C100="Charity",N($H$7),0))),2)+IF(C100="Personal",0,N(J100)))</f>
        <v/>
      </c>
    </row>
    <row r="101" ht="19" customHeight="1">
      <c r="B101" s="23" t="n"/>
      <c r="C101" s="24" t="n"/>
      <c r="D101" s="25" t="n"/>
      <c r="E101" s="25" t="n"/>
      <c r="F101" s="25" t="n"/>
      <c r="G101" s="26" t="n"/>
      <c r="H101" s="26" t="n"/>
      <c r="I101" s="27">
        <f>IF(AND(ISNUMBER(G101),ISNUMBER(H101)),H101-G101,"")</f>
        <v/>
      </c>
      <c r="J101" s="28" t="n"/>
      <c r="K101" s="29">
        <f>IF(AND(I101="",J101=""),"",ROUND(N(I101)*IF(C101="Business",N($H$5),IF(C101="Medical",N($H$6),IF(C101="Charity",N($H$7),0))),2)+IF(C101="Personal",0,N(J101)))</f>
        <v/>
      </c>
    </row>
    <row r="102" ht="19" customHeight="1">
      <c r="B102" s="23" t="n"/>
      <c r="C102" s="24" t="n"/>
      <c r="D102" s="25" t="n"/>
      <c r="E102" s="25" t="n"/>
      <c r="F102" s="25" t="n"/>
      <c r="G102" s="26" t="n"/>
      <c r="H102" s="26" t="n"/>
      <c r="I102" s="27">
        <f>IF(AND(ISNUMBER(G102),ISNUMBER(H102)),H102-G102,"")</f>
        <v/>
      </c>
      <c r="J102" s="28" t="n"/>
      <c r="K102" s="29">
        <f>IF(AND(I102="",J102=""),"",ROUND(N(I102)*IF(C102="Business",N($H$5),IF(C102="Medical",N($H$6),IF(C102="Charity",N($H$7),0))),2)+IF(C102="Personal",0,N(J102)))</f>
        <v/>
      </c>
    </row>
    <row r="103" ht="19" customHeight="1">
      <c r="B103" s="23" t="n"/>
      <c r="C103" s="24" t="n"/>
      <c r="D103" s="25" t="n"/>
      <c r="E103" s="25" t="n"/>
      <c r="F103" s="25" t="n"/>
      <c r="G103" s="26" t="n"/>
      <c r="H103" s="26" t="n"/>
      <c r="I103" s="27">
        <f>IF(AND(ISNUMBER(G103),ISNUMBER(H103)),H103-G103,"")</f>
        <v/>
      </c>
      <c r="J103" s="28" t="n"/>
      <c r="K103" s="29">
        <f>IF(AND(I103="",J103=""),"",ROUND(N(I103)*IF(C103="Business",N($H$5),IF(C103="Medical",N($H$6),IF(C103="Charity",N($H$7),0))),2)+IF(C103="Personal",0,N(J103)))</f>
        <v/>
      </c>
    </row>
    <row r="104" ht="19" customHeight="1">
      <c r="B104" s="23" t="n"/>
      <c r="C104" s="24" t="n"/>
      <c r="D104" s="25" t="n"/>
      <c r="E104" s="25" t="n"/>
      <c r="F104" s="25" t="n"/>
      <c r="G104" s="26" t="n"/>
      <c r="H104" s="26" t="n"/>
      <c r="I104" s="27">
        <f>IF(AND(ISNUMBER(G104),ISNUMBER(H104)),H104-G104,"")</f>
        <v/>
      </c>
      <c r="J104" s="28" t="n"/>
      <c r="K104" s="29">
        <f>IF(AND(I104="",J104=""),"",ROUND(N(I104)*IF(C104="Business",N($H$5),IF(C104="Medical",N($H$6),IF(C104="Charity",N($H$7),0))),2)+IF(C104="Personal",0,N(J104)))</f>
        <v/>
      </c>
    </row>
    <row r="105" ht="19" customHeight="1">
      <c r="B105" s="23" t="n"/>
      <c r="C105" s="24" t="n"/>
      <c r="D105" s="25" t="n"/>
      <c r="E105" s="25" t="n"/>
      <c r="F105" s="25" t="n"/>
      <c r="G105" s="26" t="n"/>
      <c r="H105" s="26" t="n"/>
      <c r="I105" s="27">
        <f>IF(AND(ISNUMBER(G105),ISNUMBER(H105)),H105-G105,"")</f>
        <v/>
      </c>
      <c r="J105" s="28" t="n"/>
      <c r="K105" s="29">
        <f>IF(AND(I105="",J105=""),"",ROUND(N(I105)*IF(C105="Business",N($H$5),IF(C105="Medical",N($H$6),IF(C105="Charity",N($H$7),0))),2)+IF(C105="Personal",0,N(J105)))</f>
        <v/>
      </c>
    </row>
    <row r="106" ht="19" customHeight="1">
      <c r="B106" s="23" t="n"/>
      <c r="C106" s="24" t="n"/>
      <c r="D106" s="25" t="n"/>
      <c r="E106" s="25" t="n"/>
      <c r="F106" s="25" t="n"/>
      <c r="G106" s="26" t="n"/>
      <c r="H106" s="26" t="n"/>
      <c r="I106" s="27">
        <f>IF(AND(ISNUMBER(G106),ISNUMBER(H106)),H106-G106,"")</f>
        <v/>
      </c>
      <c r="J106" s="28" t="n"/>
      <c r="K106" s="29">
        <f>IF(AND(I106="",J106=""),"",ROUND(N(I106)*IF(C106="Business",N($H$5),IF(C106="Medical",N($H$6),IF(C106="Charity",N($H$7),0))),2)+IF(C106="Personal",0,N(J106)))</f>
        <v/>
      </c>
    </row>
    <row r="107" ht="19" customHeight="1">
      <c r="B107" s="23" t="n"/>
      <c r="C107" s="24" t="n"/>
      <c r="D107" s="25" t="n"/>
      <c r="E107" s="25" t="n"/>
      <c r="F107" s="25" t="n"/>
      <c r="G107" s="26" t="n"/>
      <c r="H107" s="26" t="n"/>
      <c r="I107" s="27">
        <f>IF(AND(ISNUMBER(G107),ISNUMBER(H107)),H107-G107,"")</f>
        <v/>
      </c>
      <c r="J107" s="28" t="n"/>
      <c r="K107" s="29">
        <f>IF(AND(I107="",J107=""),"",ROUND(N(I107)*IF(C107="Business",N($H$5),IF(C107="Medical",N($H$6),IF(C107="Charity",N($H$7),0))),2)+IF(C107="Personal",0,N(J107)))</f>
        <v/>
      </c>
    </row>
    <row r="108" ht="19" customHeight="1">
      <c r="B108" s="23" t="n"/>
      <c r="C108" s="24" t="n"/>
      <c r="D108" s="25" t="n"/>
      <c r="E108" s="25" t="n"/>
      <c r="F108" s="25" t="n"/>
      <c r="G108" s="26" t="n"/>
      <c r="H108" s="26" t="n"/>
      <c r="I108" s="27">
        <f>IF(AND(ISNUMBER(G108),ISNUMBER(H108)),H108-G108,"")</f>
        <v/>
      </c>
      <c r="J108" s="28" t="n"/>
      <c r="K108" s="29">
        <f>IF(AND(I108="",J108=""),"",ROUND(N(I108)*IF(C108="Business",N($H$5),IF(C108="Medical",N($H$6),IF(C108="Charity",N($H$7),0))),2)+IF(C108="Personal",0,N(J108)))</f>
        <v/>
      </c>
    </row>
    <row r="109" ht="19" customHeight="1">
      <c r="B109" s="23" t="n"/>
      <c r="C109" s="24" t="n"/>
      <c r="D109" s="25" t="n"/>
      <c r="E109" s="25" t="n"/>
      <c r="F109" s="25" t="n"/>
      <c r="G109" s="26" t="n"/>
      <c r="H109" s="26" t="n"/>
      <c r="I109" s="27">
        <f>IF(AND(ISNUMBER(G109),ISNUMBER(H109)),H109-G109,"")</f>
        <v/>
      </c>
      <c r="J109" s="28" t="n"/>
      <c r="K109" s="29">
        <f>IF(AND(I109="",J109=""),"",ROUND(N(I109)*IF(C109="Business",N($H$5),IF(C109="Medical",N($H$6),IF(C109="Charity",N($H$7),0))),2)+IF(C109="Personal",0,N(J109)))</f>
        <v/>
      </c>
    </row>
    <row r="110" ht="19" customHeight="1">
      <c r="B110" s="23" t="n"/>
      <c r="C110" s="24" t="n"/>
      <c r="D110" s="25" t="n"/>
      <c r="E110" s="25" t="n"/>
      <c r="F110" s="25" t="n"/>
      <c r="G110" s="26" t="n"/>
      <c r="H110" s="26" t="n"/>
      <c r="I110" s="27">
        <f>IF(AND(ISNUMBER(G110),ISNUMBER(H110)),H110-G110,"")</f>
        <v/>
      </c>
      <c r="J110" s="28" t="n"/>
      <c r="K110" s="29">
        <f>IF(AND(I110="",J110=""),"",ROUND(N(I110)*IF(C110="Business",N($H$5),IF(C110="Medical",N($H$6),IF(C110="Charity",N($H$7),0))),2)+IF(C110="Personal",0,N(J110)))</f>
        <v/>
      </c>
    </row>
    <row r="111" ht="19" customHeight="1">
      <c r="B111" s="23" t="n"/>
      <c r="C111" s="24" t="n"/>
      <c r="D111" s="25" t="n"/>
      <c r="E111" s="25" t="n"/>
      <c r="F111" s="25" t="n"/>
      <c r="G111" s="26" t="n"/>
      <c r="H111" s="26" t="n"/>
      <c r="I111" s="27">
        <f>IF(AND(ISNUMBER(G111),ISNUMBER(H111)),H111-G111,"")</f>
        <v/>
      </c>
      <c r="J111" s="28" t="n"/>
      <c r="K111" s="29">
        <f>IF(AND(I111="",J111=""),"",ROUND(N(I111)*IF(C111="Business",N($H$5),IF(C111="Medical",N($H$6),IF(C111="Charity",N($H$7),0))),2)+IF(C111="Personal",0,N(J111)))</f>
        <v/>
      </c>
    </row>
    <row r="112" ht="19" customHeight="1">
      <c r="B112" s="23" t="n"/>
      <c r="C112" s="24" t="n"/>
      <c r="D112" s="25" t="n"/>
      <c r="E112" s="25" t="n"/>
      <c r="F112" s="25" t="n"/>
      <c r="G112" s="26" t="n"/>
      <c r="H112" s="26" t="n"/>
      <c r="I112" s="27">
        <f>IF(AND(ISNUMBER(G112),ISNUMBER(H112)),H112-G112,"")</f>
        <v/>
      </c>
      <c r="J112" s="28" t="n"/>
      <c r="K112" s="29">
        <f>IF(AND(I112="",J112=""),"",ROUND(N(I112)*IF(C112="Business",N($H$5),IF(C112="Medical",N($H$6),IF(C112="Charity",N($H$7),0))),2)+IF(C112="Personal",0,N(J112)))</f>
        <v/>
      </c>
    </row>
    <row r="113" ht="19" customHeight="1">
      <c r="B113" s="23" t="n"/>
      <c r="C113" s="24" t="n"/>
      <c r="D113" s="25" t="n"/>
      <c r="E113" s="25" t="n"/>
      <c r="F113" s="25" t="n"/>
      <c r="G113" s="26" t="n"/>
      <c r="H113" s="26" t="n"/>
      <c r="I113" s="27">
        <f>IF(AND(ISNUMBER(G113),ISNUMBER(H113)),H113-G113,"")</f>
        <v/>
      </c>
      <c r="J113" s="28" t="n"/>
      <c r="K113" s="29">
        <f>IF(AND(I113="",J113=""),"",ROUND(N(I113)*IF(C113="Business",N($H$5),IF(C113="Medical",N($H$6),IF(C113="Charity",N($H$7),0))),2)+IF(C113="Personal",0,N(J113)))</f>
        <v/>
      </c>
    </row>
    <row r="114" ht="19" customHeight="1">
      <c r="B114" s="23" t="n"/>
      <c r="C114" s="24" t="n"/>
      <c r="D114" s="25" t="n"/>
      <c r="E114" s="25" t="n"/>
      <c r="F114" s="25" t="n"/>
      <c r="G114" s="26" t="n"/>
      <c r="H114" s="26" t="n"/>
      <c r="I114" s="27">
        <f>IF(AND(ISNUMBER(G114),ISNUMBER(H114)),H114-G114,"")</f>
        <v/>
      </c>
      <c r="J114" s="28" t="n"/>
      <c r="K114" s="29">
        <f>IF(AND(I114="",J114=""),"",ROUND(N(I114)*IF(C114="Business",N($H$5),IF(C114="Medical",N($H$6),IF(C114="Charity",N($H$7),0))),2)+IF(C114="Personal",0,N(J114)))</f>
        <v/>
      </c>
    </row>
    <row r="115" ht="19" customHeight="1">
      <c r="B115" s="23" t="n"/>
      <c r="C115" s="24" t="n"/>
      <c r="D115" s="25" t="n"/>
      <c r="E115" s="25" t="n"/>
      <c r="F115" s="25" t="n"/>
      <c r="G115" s="26" t="n"/>
      <c r="H115" s="26" t="n"/>
      <c r="I115" s="27">
        <f>IF(AND(ISNUMBER(G115),ISNUMBER(H115)),H115-G115,"")</f>
        <v/>
      </c>
      <c r="J115" s="28" t="n"/>
      <c r="K115" s="29">
        <f>IF(AND(I115="",J115=""),"",ROUND(N(I115)*IF(C115="Business",N($H$5),IF(C115="Medical",N($H$6),IF(C115="Charity",N($H$7),0))),2)+IF(C115="Personal",0,N(J115)))</f>
        <v/>
      </c>
    </row>
    <row r="116" ht="19" customHeight="1">
      <c r="B116" s="23" t="n"/>
      <c r="C116" s="24" t="n"/>
      <c r="D116" s="25" t="n"/>
      <c r="E116" s="25" t="n"/>
      <c r="F116" s="25" t="n"/>
      <c r="G116" s="26" t="n"/>
      <c r="H116" s="26" t="n"/>
      <c r="I116" s="27">
        <f>IF(AND(ISNUMBER(G116),ISNUMBER(H116)),H116-G116,"")</f>
        <v/>
      </c>
      <c r="J116" s="28" t="n"/>
      <c r="K116" s="29">
        <f>IF(AND(I116="",J116=""),"",ROUND(N(I116)*IF(C116="Business",N($H$5),IF(C116="Medical",N($H$6),IF(C116="Charity",N($H$7),0))),2)+IF(C116="Personal",0,N(J116)))</f>
        <v/>
      </c>
    </row>
    <row r="117" ht="19" customHeight="1">
      <c r="B117" s="23" t="n"/>
      <c r="C117" s="24" t="n"/>
      <c r="D117" s="25" t="n"/>
      <c r="E117" s="25" t="n"/>
      <c r="F117" s="25" t="n"/>
      <c r="G117" s="26" t="n"/>
      <c r="H117" s="26" t="n"/>
      <c r="I117" s="27">
        <f>IF(AND(ISNUMBER(G117),ISNUMBER(H117)),H117-G117,"")</f>
        <v/>
      </c>
      <c r="J117" s="28" t="n"/>
      <c r="K117" s="29">
        <f>IF(AND(I117="",J117=""),"",ROUND(N(I117)*IF(C117="Business",N($H$5),IF(C117="Medical",N($H$6),IF(C117="Charity",N($H$7),0))),2)+IF(C117="Personal",0,N(J117)))</f>
        <v/>
      </c>
    </row>
    <row r="118" ht="19" customHeight="1">
      <c r="B118" s="23" t="n"/>
      <c r="C118" s="24" t="n"/>
      <c r="D118" s="25" t="n"/>
      <c r="E118" s="25" t="n"/>
      <c r="F118" s="25" t="n"/>
      <c r="G118" s="26" t="n"/>
      <c r="H118" s="26" t="n"/>
      <c r="I118" s="27">
        <f>IF(AND(ISNUMBER(G118),ISNUMBER(H118)),H118-G118,"")</f>
        <v/>
      </c>
      <c r="J118" s="28" t="n"/>
      <c r="K118" s="29">
        <f>IF(AND(I118="",J118=""),"",ROUND(N(I118)*IF(C118="Business",N($H$5),IF(C118="Medical",N($H$6),IF(C118="Charity",N($H$7),0))),2)+IF(C118="Personal",0,N(J118)))</f>
        <v/>
      </c>
    </row>
    <row r="119" ht="19" customHeight="1">
      <c r="B119" s="23" t="n"/>
      <c r="C119" s="24" t="n"/>
      <c r="D119" s="25" t="n"/>
      <c r="E119" s="25" t="n"/>
      <c r="F119" s="25" t="n"/>
      <c r="G119" s="26" t="n"/>
      <c r="H119" s="26" t="n"/>
      <c r="I119" s="27">
        <f>IF(AND(ISNUMBER(G119),ISNUMBER(H119)),H119-G119,"")</f>
        <v/>
      </c>
      <c r="J119" s="28" t="n"/>
      <c r="K119" s="29">
        <f>IF(AND(I119="",J119=""),"",ROUND(N(I119)*IF(C119="Business",N($H$5),IF(C119="Medical",N($H$6),IF(C119="Charity",N($H$7),0))),2)+IF(C119="Personal",0,N(J119)))</f>
        <v/>
      </c>
    </row>
    <row r="120" ht="19" customHeight="1">
      <c r="B120" s="23" t="n"/>
      <c r="C120" s="24" t="n"/>
      <c r="D120" s="25" t="n"/>
      <c r="E120" s="25" t="n"/>
      <c r="F120" s="25" t="n"/>
      <c r="G120" s="26" t="n"/>
      <c r="H120" s="26" t="n"/>
      <c r="I120" s="27">
        <f>IF(AND(ISNUMBER(G120),ISNUMBER(H120)),H120-G120,"")</f>
        <v/>
      </c>
      <c r="J120" s="28" t="n"/>
      <c r="K120" s="29">
        <f>IF(AND(I120="",J120=""),"",ROUND(N(I120)*IF(C120="Business",N($H$5),IF(C120="Medical",N($H$6),IF(C120="Charity",N($H$7),0))),2)+IF(C120="Personal",0,N(J120)))</f>
        <v/>
      </c>
    </row>
    <row r="121" ht="19" customHeight="1">
      <c r="B121" s="23" t="n"/>
      <c r="C121" s="24" t="n"/>
      <c r="D121" s="25" t="n"/>
      <c r="E121" s="25" t="n"/>
      <c r="F121" s="25" t="n"/>
      <c r="G121" s="26" t="n"/>
      <c r="H121" s="26" t="n"/>
      <c r="I121" s="27">
        <f>IF(AND(ISNUMBER(G121),ISNUMBER(H121)),H121-G121,"")</f>
        <v/>
      </c>
      <c r="J121" s="28" t="n"/>
      <c r="K121" s="29">
        <f>IF(AND(I121="",J121=""),"",ROUND(N(I121)*IF(C121="Business",N($H$5),IF(C121="Medical",N($H$6),IF(C121="Charity",N($H$7),0))),2)+IF(C121="Personal",0,N(J121)))</f>
        <v/>
      </c>
    </row>
    <row r="122" ht="19" customHeight="1">
      <c r="B122" s="23" t="n"/>
      <c r="C122" s="24" t="n"/>
      <c r="D122" s="25" t="n"/>
      <c r="E122" s="25" t="n"/>
      <c r="F122" s="25" t="n"/>
      <c r="G122" s="26" t="n"/>
      <c r="H122" s="26" t="n"/>
      <c r="I122" s="27">
        <f>IF(AND(ISNUMBER(G122),ISNUMBER(H122)),H122-G122,"")</f>
        <v/>
      </c>
      <c r="J122" s="28" t="n"/>
      <c r="K122" s="29">
        <f>IF(AND(I122="",J122=""),"",ROUND(N(I122)*IF(C122="Business",N($H$5),IF(C122="Medical",N($H$6),IF(C122="Charity",N($H$7),0))),2)+IF(C122="Personal",0,N(J122)))</f>
        <v/>
      </c>
    </row>
    <row r="123" ht="19" customHeight="1">
      <c r="B123" s="23" t="n"/>
      <c r="C123" s="24" t="n"/>
      <c r="D123" s="25" t="n"/>
      <c r="E123" s="25" t="n"/>
      <c r="F123" s="25" t="n"/>
      <c r="G123" s="26" t="n"/>
      <c r="H123" s="26" t="n"/>
      <c r="I123" s="27">
        <f>IF(AND(ISNUMBER(G123),ISNUMBER(H123)),H123-G123,"")</f>
        <v/>
      </c>
      <c r="J123" s="28" t="n"/>
      <c r="K123" s="29">
        <f>IF(AND(I123="",J123=""),"",ROUND(N(I123)*IF(C123="Business",N($H$5),IF(C123="Medical",N($H$6),IF(C123="Charity",N($H$7),0))),2)+IF(C123="Personal",0,N(J123)))</f>
        <v/>
      </c>
    </row>
    <row r="124" ht="19" customHeight="1">
      <c r="B124" s="23" t="n"/>
      <c r="C124" s="24" t="n"/>
      <c r="D124" s="25" t="n"/>
      <c r="E124" s="25" t="n"/>
      <c r="F124" s="25" t="n"/>
      <c r="G124" s="26" t="n"/>
      <c r="H124" s="26" t="n"/>
      <c r="I124" s="27">
        <f>IF(AND(ISNUMBER(G124),ISNUMBER(H124)),H124-G124,"")</f>
        <v/>
      </c>
      <c r="J124" s="28" t="n"/>
      <c r="K124" s="29">
        <f>IF(AND(I124="",J124=""),"",ROUND(N(I124)*IF(C124="Business",N($H$5),IF(C124="Medical",N($H$6),IF(C124="Charity",N($H$7),0))),2)+IF(C124="Personal",0,N(J124)))</f>
        <v/>
      </c>
    </row>
    <row r="125" ht="19" customHeight="1">
      <c r="B125" s="23" t="n"/>
      <c r="C125" s="24" t="n"/>
      <c r="D125" s="25" t="n"/>
      <c r="E125" s="25" t="n"/>
      <c r="F125" s="25" t="n"/>
      <c r="G125" s="26" t="n"/>
      <c r="H125" s="26" t="n"/>
      <c r="I125" s="27">
        <f>IF(AND(ISNUMBER(G125),ISNUMBER(H125)),H125-G125,"")</f>
        <v/>
      </c>
      <c r="J125" s="28" t="n"/>
      <c r="K125" s="29">
        <f>IF(AND(I125="",J125=""),"",ROUND(N(I125)*IF(C125="Business",N($H$5),IF(C125="Medical",N($H$6),IF(C125="Charity",N($H$7),0))),2)+IF(C125="Personal",0,N(J125)))</f>
        <v/>
      </c>
    </row>
    <row r="126" ht="19" customHeight="1">
      <c r="B126" s="23" t="n"/>
      <c r="C126" s="24" t="n"/>
      <c r="D126" s="25" t="n"/>
      <c r="E126" s="25" t="n"/>
      <c r="F126" s="25" t="n"/>
      <c r="G126" s="26" t="n"/>
      <c r="H126" s="26" t="n"/>
      <c r="I126" s="27">
        <f>IF(AND(ISNUMBER(G126),ISNUMBER(H126)),H126-G126,"")</f>
        <v/>
      </c>
      <c r="J126" s="28" t="n"/>
      <c r="K126" s="29">
        <f>IF(AND(I126="",J126=""),"",ROUND(N(I126)*IF(C126="Business",N($H$5),IF(C126="Medical",N($H$6),IF(C126="Charity",N($H$7),0))),2)+IF(C126="Personal",0,N(J126)))</f>
        <v/>
      </c>
    </row>
    <row r="127" ht="19" customHeight="1">
      <c r="B127" s="23" t="n"/>
      <c r="C127" s="24" t="n"/>
      <c r="D127" s="25" t="n"/>
      <c r="E127" s="25" t="n"/>
      <c r="F127" s="25" t="n"/>
      <c r="G127" s="26" t="n"/>
      <c r="H127" s="26" t="n"/>
      <c r="I127" s="27">
        <f>IF(AND(ISNUMBER(G127),ISNUMBER(H127)),H127-G127,"")</f>
        <v/>
      </c>
      <c r="J127" s="28" t="n"/>
      <c r="K127" s="29">
        <f>IF(AND(I127="",J127=""),"",ROUND(N(I127)*IF(C127="Business",N($H$5),IF(C127="Medical",N($H$6),IF(C127="Charity",N($H$7),0))),2)+IF(C127="Personal",0,N(J127)))</f>
        <v/>
      </c>
    </row>
    <row r="128" ht="19" customHeight="1">
      <c r="B128" s="23" t="n"/>
      <c r="C128" s="24" t="n"/>
      <c r="D128" s="25" t="n"/>
      <c r="E128" s="25" t="n"/>
      <c r="F128" s="25" t="n"/>
      <c r="G128" s="26" t="n"/>
      <c r="H128" s="26" t="n"/>
      <c r="I128" s="27">
        <f>IF(AND(ISNUMBER(G128),ISNUMBER(H128)),H128-G128,"")</f>
        <v/>
      </c>
      <c r="J128" s="28" t="n"/>
      <c r="K128" s="29">
        <f>IF(AND(I128="",J128=""),"",ROUND(N(I128)*IF(C128="Business",N($H$5),IF(C128="Medical",N($H$6),IF(C128="Charity",N($H$7),0))),2)+IF(C128="Personal",0,N(J128)))</f>
        <v/>
      </c>
    </row>
    <row r="129" ht="19" customHeight="1">
      <c r="B129" s="23" t="n"/>
      <c r="C129" s="24" t="n"/>
      <c r="D129" s="25" t="n"/>
      <c r="E129" s="25" t="n"/>
      <c r="F129" s="25" t="n"/>
      <c r="G129" s="26" t="n"/>
      <c r="H129" s="26" t="n"/>
      <c r="I129" s="27">
        <f>IF(AND(ISNUMBER(G129),ISNUMBER(H129)),H129-G129,"")</f>
        <v/>
      </c>
      <c r="J129" s="28" t="n"/>
      <c r="K129" s="29">
        <f>IF(AND(I129="",J129=""),"",ROUND(N(I129)*IF(C129="Business",N($H$5),IF(C129="Medical",N($H$6),IF(C129="Charity",N($H$7),0))),2)+IF(C129="Personal",0,N(J129)))</f>
        <v/>
      </c>
    </row>
    <row r="130" ht="19" customHeight="1">
      <c r="B130" s="23" t="n"/>
      <c r="C130" s="24" t="n"/>
      <c r="D130" s="25" t="n"/>
      <c r="E130" s="25" t="n"/>
      <c r="F130" s="25" t="n"/>
      <c r="G130" s="26" t="n"/>
      <c r="H130" s="26" t="n"/>
      <c r="I130" s="27">
        <f>IF(AND(ISNUMBER(G130),ISNUMBER(H130)),H130-G130,"")</f>
        <v/>
      </c>
      <c r="J130" s="28" t="n"/>
      <c r="K130" s="29">
        <f>IF(AND(I130="",J130=""),"",ROUND(N(I130)*IF(C130="Business",N($H$5),IF(C130="Medical",N($H$6),IF(C130="Charity",N($H$7),0))),2)+IF(C130="Personal",0,N(J130)))</f>
        <v/>
      </c>
    </row>
    <row r="131" ht="19" customHeight="1">
      <c r="B131" s="23" t="n"/>
      <c r="C131" s="24" t="n"/>
      <c r="D131" s="25" t="n"/>
      <c r="E131" s="25" t="n"/>
      <c r="F131" s="25" t="n"/>
      <c r="G131" s="26" t="n"/>
      <c r="H131" s="26" t="n"/>
      <c r="I131" s="27">
        <f>IF(AND(ISNUMBER(G131),ISNUMBER(H131)),H131-G131,"")</f>
        <v/>
      </c>
      <c r="J131" s="28" t="n"/>
      <c r="K131" s="29">
        <f>IF(AND(I131="",J131=""),"",ROUND(N(I131)*IF(C131="Business",N($H$5),IF(C131="Medical",N($H$6),IF(C131="Charity",N($H$7),0))),2)+IF(C131="Personal",0,N(J131)))</f>
        <v/>
      </c>
    </row>
    <row r="132" ht="19" customHeight="1">
      <c r="B132" s="23" t="n"/>
      <c r="C132" s="24" t="n"/>
      <c r="D132" s="25" t="n"/>
      <c r="E132" s="25" t="n"/>
      <c r="F132" s="25" t="n"/>
      <c r="G132" s="26" t="n"/>
      <c r="H132" s="26" t="n"/>
      <c r="I132" s="27">
        <f>IF(AND(ISNUMBER(G132),ISNUMBER(H132)),H132-G132,"")</f>
        <v/>
      </c>
      <c r="J132" s="28" t="n"/>
      <c r="K132" s="29">
        <f>IF(AND(I132="",J132=""),"",ROUND(N(I132)*IF(C132="Business",N($H$5),IF(C132="Medical",N($H$6),IF(C132="Charity",N($H$7),0))),2)+IF(C132="Personal",0,N(J132)))</f>
        <v/>
      </c>
    </row>
    <row r="133" ht="19" customHeight="1">
      <c r="B133" s="23" t="n"/>
      <c r="C133" s="24" t="n"/>
      <c r="D133" s="25" t="n"/>
      <c r="E133" s="25" t="n"/>
      <c r="F133" s="25" t="n"/>
      <c r="G133" s="26" t="n"/>
      <c r="H133" s="26" t="n"/>
      <c r="I133" s="27">
        <f>IF(AND(ISNUMBER(G133),ISNUMBER(H133)),H133-G133,"")</f>
        <v/>
      </c>
      <c r="J133" s="28" t="n"/>
      <c r="K133" s="29">
        <f>IF(AND(I133="",J133=""),"",ROUND(N(I133)*IF(C133="Business",N($H$5),IF(C133="Medical",N($H$6),IF(C133="Charity",N($H$7),0))),2)+IF(C133="Personal",0,N(J133)))</f>
        <v/>
      </c>
    </row>
    <row r="134" ht="19" customHeight="1">
      <c r="B134" s="23" t="n"/>
      <c r="C134" s="24" t="n"/>
      <c r="D134" s="25" t="n"/>
      <c r="E134" s="25" t="n"/>
      <c r="F134" s="25" t="n"/>
      <c r="G134" s="26" t="n"/>
      <c r="H134" s="26" t="n"/>
      <c r="I134" s="27">
        <f>IF(AND(ISNUMBER(G134),ISNUMBER(H134)),H134-G134,"")</f>
        <v/>
      </c>
      <c r="J134" s="28" t="n"/>
      <c r="K134" s="29">
        <f>IF(AND(I134="",J134=""),"",ROUND(N(I134)*IF(C134="Business",N($H$5),IF(C134="Medical",N($H$6),IF(C134="Charity",N($H$7),0))),2)+IF(C134="Personal",0,N(J134)))</f>
        <v/>
      </c>
    </row>
    <row r="135" ht="19" customHeight="1">
      <c r="B135" s="23" t="n"/>
      <c r="C135" s="24" t="n"/>
      <c r="D135" s="25" t="n"/>
      <c r="E135" s="25" t="n"/>
      <c r="F135" s="25" t="n"/>
      <c r="G135" s="26" t="n"/>
      <c r="H135" s="26" t="n"/>
      <c r="I135" s="27">
        <f>IF(AND(ISNUMBER(G135),ISNUMBER(H135)),H135-G135,"")</f>
        <v/>
      </c>
      <c r="J135" s="28" t="n"/>
      <c r="K135" s="29">
        <f>IF(AND(I135="",J135=""),"",ROUND(N(I135)*IF(C135="Business",N($H$5),IF(C135="Medical",N($H$6),IF(C135="Charity",N($H$7),0))),2)+IF(C135="Personal",0,N(J135)))</f>
        <v/>
      </c>
    </row>
    <row r="136" ht="19" customHeight="1">
      <c r="B136" s="23" t="n"/>
      <c r="C136" s="24" t="n"/>
      <c r="D136" s="25" t="n"/>
      <c r="E136" s="25" t="n"/>
      <c r="F136" s="25" t="n"/>
      <c r="G136" s="26" t="n"/>
      <c r="H136" s="26" t="n"/>
      <c r="I136" s="27">
        <f>IF(AND(ISNUMBER(G136),ISNUMBER(H136)),H136-G136,"")</f>
        <v/>
      </c>
      <c r="J136" s="28" t="n"/>
      <c r="K136" s="29">
        <f>IF(AND(I136="",J136=""),"",ROUND(N(I136)*IF(C136="Business",N($H$5),IF(C136="Medical",N($H$6),IF(C136="Charity",N($H$7),0))),2)+IF(C136="Personal",0,N(J136)))</f>
        <v/>
      </c>
    </row>
    <row r="137" ht="19" customHeight="1">
      <c r="B137" s="23" t="n"/>
      <c r="C137" s="24" t="n"/>
      <c r="D137" s="25" t="n"/>
      <c r="E137" s="25" t="n"/>
      <c r="F137" s="25" t="n"/>
      <c r="G137" s="26" t="n"/>
      <c r="H137" s="26" t="n"/>
      <c r="I137" s="27">
        <f>IF(AND(ISNUMBER(G137),ISNUMBER(H137)),H137-G137,"")</f>
        <v/>
      </c>
      <c r="J137" s="28" t="n"/>
      <c r="K137" s="29">
        <f>IF(AND(I137="",J137=""),"",ROUND(N(I137)*IF(C137="Business",N($H$5),IF(C137="Medical",N($H$6),IF(C137="Charity",N($H$7),0))),2)+IF(C137="Personal",0,N(J137)))</f>
        <v/>
      </c>
    </row>
    <row r="138" ht="19" customHeight="1">
      <c r="B138" s="23" t="n"/>
      <c r="C138" s="24" t="n"/>
      <c r="D138" s="25" t="n"/>
      <c r="E138" s="25" t="n"/>
      <c r="F138" s="25" t="n"/>
      <c r="G138" s="26" t="n"/>
      <c r="H138" s="26" t="n"/>
      <c r="I138" s="27">
        <f>IF(AND(ISNUMBER(G138),ISNUMBER(H138)),H138-G138,"")</f>
        <v/>
      </c>
      <c r="J138" s="28" t="n"/>
      <c r="K138" s="29">
        <f>IF(AND(I138="",J138=""),"",ROUND(N(I138)*IF(C138="Business",N($H$5),IF(C138="Medical",N($H$6),IF(C138="Charity",N($H$7),0))),2)+IF(C138="Personal",0,N(J138)))</f>
        <v/>
      </c>
    </row>
    <row r="139" ht="19" customHeight="1">
      <c r="B139" s="23" t="n"/>
      <c r="C139" s="24" t="n"/>
      <c r="D139" s="25" t="n"/>
      <c r="E139" s="25" t="n"/>
      <c r="F139" s="25" t="n"/>
      <c r="G139" s="26" t="n"/>
      <c r="H139" s="26" t="n"/>
      <c r="I139" s="27">
        <f>IF(AND(ISNUMBER(G139),ISNUMBER(H139)),H139-G139,"")</f>
        <v/>
      </c>
      <c r="J139" s="28" t="n"/>
      <c r="K139" s="29">
        <f>IF(AND(I139="",J139=""),"",ROUND(N(I139)*IF(C139="Business",N($H$5),IF(C139="Medical",N($H$6),IF(C139="Charity",N($H$7),0))),2)+IF(C139="Personal",0,N(J139)))</f>
        <v/>
      </c>
    </row>
    <row r="140" ht="19" customHeight="1">
      <c r="B140" s="23" t="n"/>
      <c r="C140" s="24" t="n"/>
      <c r="D140" s="25" t="n"/>
      <c r="E140" s="25" t="n"/>
      <c r="F140" s="25" t="n"/>
      <c r="G140" s="26" t="n"/>
      <c r="H140" s="26" t="n"/>
      <c r="I140" s="27">
        <f>IF(AND(ISNUMBER(G140),ISNUMBER(H140)),H140-G140,"")</f>
        <v/>
      </c>
      <c r="J140" s="28" t="n"/>
      <c r="K140" s="29">
        <f>IF(AND(I140="",J140=""),"",ROUND(N(I140)*IF(C140="Business",N($H$5),IF(C140="Medical",N($H$6),IF(C140="Charity",N($H$7),0))),2)+IF(C140="Personal",0,N(J140)))</f>
        <v/>
      </c>
    </row>
    <row r="141" ht="19" customHeight="1">
      <c r="B141" s="23" t="n"/>
      <c r="C141" s="24" t="n"/>
      <c r="D141" s="25" t="n"/>
      <c r="E141" s="25" t="n"/>
      <c r="F141" s="25" t="n"/>
      <c r="G141" s="26" t="n"/>
      <c r="H141" s="26" t="n"/>
      <c r="I141" s="27">
        <f>IF(AND(ISNUMBER(G141),ISNUMBER(H141)),H141-G141,"")</f>
        <v/>
      </c>
      <c r="J141" s="28" t="n"/>
      <c r="K141" s="29">
        <f>IF(AND(I141="",J141=""),"",ROUND(N(I141)*IF(C141="Business",N($H$5),IF(C141="Medical",N($H$6),IF(C141="Charity",N($H$7),0))),2)+IF(C141="Personal",0,N(J141)))</f>
        <v/>
      </c>
    </row>
    <row r="142" ht="19" customHeight="1">
      <c r="B142" s="23" t="n"/>
      <c r="C142" s="24" t="n"/>
      <c r="D142" s="25" t="n"/>
      <c r="E142" s="25" t="n"/>
      <c r="F142" s="25" t="n"/>
      <c r="G142" s="26" t="n"/>
      <c r="H142" s="26" t="n"/>
      <c r="I142" s="27">
        <f>IF(AND(ISNUMBER(G142),ISNUMBER(H142)),H142-G142,"")</f>
        <v/>
      </c>
      <c r="J142" s="28" t="n"/>
      <c r="K142" s="29">
        <f>IF(AND(I142="",J142=""),"",ROUND(N(I142)*IF(C142="Business",N($H$5),IF(C142="Medical",N($H$6),IF(C142="Charity",N($H$7),0))),2)+IF(C142="Personal",0,N(J142)))</f>
        <v/>
      </c>
    </row>
    <row r="143" ht="19" customHeight="1">
      <c r="B143" s="23" t="n"/>
      <c r="C143" s="24" t="n"/>
      <c r="D143" s="25" t="n"/>
      <c r="E143" s="25" t="n"/>
      <c r="F143" s="25" t="n"/>
      <c r="G143" s="26" t="n"/>
      <c r="H143" s="26" t="n"/>
      <c r="I143" s="27">
        <f>IF(AND(ISNUMBER(G143),ISNUMBER(H143)),H143-G143,"")</f>
        <v/>
      </c>
      <c r="J143" s="28" t="n"/>
      <c r="K143" s="29">
        <f>IF(AND(I143="",J143=""),"",ROUND(N(I143)*IF(C143="Business",N($H$5),IF(C143="Medical",N($H$6),IF(C143="Charity",N($H$7),0))),2)+IF(C143="Personal",0,N(J143)))</f>
        <v/>
      </c>
    </row>
    <row r="144" ht="19" customHeight="1">
      <c r="B144" s="23" t="n"/>
      <c r="C144" s="24" t="n"/>
      <c r="D144" s="25" t="n"/>
      <c r="E144" s="25" t="n"/>
      <c r="F144" s="25" t="n"/>
      <c r="G144" s="26" t="n"/>
      <c r="H144" s="26" t="n"/>
      <c r="I144" s="27">
        <f>IF(AND(ISNUMBER(G144),ISNUMBER(H144)),H144-G144,"")</f>
        <v/>
      </c>
      <c r="J144" s="28" t="n"/>
      <c r="K144" s="29">
        <f>IF(AND(I144="",J144=""),"",ROUND(N(I144)*IF(C144="Business",N($H$5),IF(C144="Medical",N($H$6),IF(C144="Charity",N($H$7),0))),2)+IF(C144="Personal",0,N(J144)))</f>
        <v/>
      </c>
    </row>
    <row r="145" ht="19" customHeight="1">
      <c r="B145" s="23" t="n"/>
      <c r="C145" s="24" t="n"/>
      <c r="D145" s="25" t="n"/>
      <c r="E145" s="25" t="n"/>
      <c r="F145" s="25" t="n"/>
      <c r="G145" s="26" t="n"/>
      <c r="H145" s="26" t="n"/>
      <c r="I145" s="27">
        <f>IF(AND(ISNUMBER(G145),ISNUMBER(H145)),H145-G145,"")</f>
        <v/>
      </c>
      <c r="J145" s="28" t="n"/>
      <c r="K145" s="29">
        <f>IF(AND(I145="",J145=""),"",ROUND(N(I145)*IF(C145="Business",N($H$5),IF(C145="Medical",N($H$6),IF(C145="Charity",N($H$7),0))),2)+IF(C145="Personal",0,N(J145)))</f>
        <v/>
      </c>
    </row>
    <row r="146" ht="19" customHeight="1">
      <c r="B146" s="23" t="n"/>
      <c r="C146" s="24" t="n"/>
      <c r="D146" s="25" t="n"/>
      <c r="E146" s="25" t="n"/>
      <c r="F146" s="25" t="n"/>
      <c r="G146" s="26" t="n"/>
      <c r="H146" s="26" t="n"/>
      <c r="I146" s="27">
        <f>IF(AND(ISNUMBER(G146),ISNUMBER(H146)),H146-G146,"")</f>
        <v/>
      </c>
      <c r="J146" s="28" t="n"/>
      <c r="K146" s="29">
        <f>IF(AND(I146="",J146=""),"",ROUND(N(I146)*IF(C146="Business",N($H$5),IF(C146="Medical",N($H$6),IF(C146="Charity",N($H$7),0))),2)+IF(C146="Personal",0,N(J146)))</f>
        <v/>
      </c>
    </row>
    <row r="147" ht="19" customHeight="1">
      <c r="B147" s="23" t="n"/>
      <c r="C147" s="24" t="n"/>
      <c r="D147" s="25" t="n"/>
      <c r="E147" s="25" t="n"/>
      <c r="F147" s="25" t="n"/>
      <c r="G147" s="26" t="n"/>
      <c r="H147" s="26" t="n"/>
      <c r="I147" s="27">
        <f>IF(AND(ISNUMBER(G147),ISNUMBER(H147)),H147-G147,"")</f>
        <v/>
      </c>
      <c r="J147" s="28" t="n"/>
      <c r="K147" s="29">
        <f>IF(AND(I147="",J147=""),"",ROUND(N(I147)*IF(C147="Business",N($H$5),IF(C147="Medical",N($H$6),IF(C147="Charity",N($H$7),0))),2)+IF(C147="Personal",0,N(J147)))</f>
        <v/>
      </c>
    </row>
    <row r="148" ht="19" customHeight="1">
      <c r="B148" s="23" t="n"/>
      <c r="C148" s="24" t="n"/>
      <c r="D148" s="25" t="n"/>
      <c r="E148" s="25" t="n"/>
      <c r="F148" s="25" t="n"/>
      <c r="G148" s="26" t="n"/>
      <c r="H148" s="26" t="n"/>
      <c r="I148" s="27">
        <f>IF(AND(ISNUMBER(G148),ISNUMBER(H148)),H148-G148,"")</f>
        <v/>
      </c>
      <c r="J148" s="28" t="n"/>
      <c r="K148" s="29">
        <f>IF(AND(I148="",J148=""),"",ROUND(N(I148)*IF(C148="Business",N($H$5),IF(C148="Medical",N($H$6),IF(C148="Charity",N($H$7),0))),2)+IF(C148="Personal",0,N(J148)))</f>
        <v/>
      </c>
    </row>
    <row r="149" ht="19" customHeight="1">
      <c r="B149" s="23" t="n"/>
      <c r="C149" s="24" t="n"/>
      <c r="D149" s="25" t="n"/>
      <c r="E149" s="25" t="n"/>
      <c r="F149" s="25" t="n"/>
      <c r="G149" s="26" t="n"/>
      <c r="H149" s="26" t="n"/>
      <c r="I149" s="27">
        <f>IF(AND(ISNUMBER(G149),ISNUMBER(H149)),H149-G149,"")</f>
        <v/>
      </c>
      <c r="J149" s="28" t="n"/>
      <c r="K149" s="29">
        <f>IF(AND(I149="",J149=""),"",ROUND(N(I149)*IF(C149="Business",N($H$5),IF(C149="Medical",N($H$6),IF(C149="Charity",N($H$7),0))),2)+IF(C149="Personal",0,N(J149)))</f>
        <v/>
      </c>
    </row>
    <row r="150" ht="19" customHeight="1">
      <c r="B150" s="23" t="n"/>
      <c r="C150" s="24" t="n"/>
      <c r="D150" s="25" t="n"/>
      <c r="E150" s="25" t="n"/>
      <c r="F150" s="25" t="n"/>
      <c r="G150" s="26" t="n"/>
      <c r="H150" s="26" t="n"/>
      <c r="I150" s="27">
        <f>IF(AND(ISNUMBER(G150),ISNUMBER(H150)),H150-G150,"")</f>
        <v/>
      </c>
      <c r="J150" s="28" t="n"/>
      <c r="K150" s="29">
        <f>IF(AND(I150="",J150=""),"",ROUND(N(I150)*IF(C150="Business",N($H$5),IF(C150="Medical",N($H$6),IF(C150="Charity",N($H$7),0))),2)+IF(C150="Personal",0,N(J150)))</f>
        <v/>
      </c>
    </row>
    <row r="151" ht="19" customHeight="1">
      <c r="B151" s="23" t="n"/>
      <c r="C151" s="24" t="n"/>
      <c r="D151" s="25" t="n"/>
      <c r="E151" s="25" t="n"/>
      <c r="F151" s="25" t="n"/>
      <c r="G151" s="26" t="n"/>
      <c r="H151" s="26" t="n"/>
      <c r="I151" s="27">
        <f>IF(AND(ISNUMBER(G151),ISNUMBER(H151)),H151-G151,"")</f>
        <v/>
      </c>
      <c r="J151" s="28" t="n"/>
      <c r="K151" s="29">
        <f>IF(AND(I151="",J151=""),"",ROUND(N(I151)*IF(C151="Business",N($H$5),IF(C151="Medical",N($H$6),IF(C151="Charity",N($H$7),0))),2)+IF(C151="Personal",0,N(J151)))</f>
        <v/>
      </c>
    </row>
    <row r="152" ht="19" customHeight="1">
      <c r="B152" s="23" t="n"/>
      <c r="C152" s="24" t="n"/>
      <c r="D152" s="25" t="n"/>
      <c r="E152" s="25" t="n"/>
      <c r="F152" s="25" t="n"/>
      <c r="G152" s="26" t="n"/>
      <c r="H152" s="26" t="n"/>
      <c r="I152" s="27">
        <f>IF(AND(ISNUMBER(G152),ISNUMBER(H152)),H152-G152,"")</f>
        <v/>
      </c>
      <c r="J152" s="28" t="n"/>
      <c r="K152" s="29">
        <f>IF(AND(I152="",J152=""),"",ROUND(N(I152)*IF(C152="Business",N($H$5),IF(C152="Medical",N($H$6),IF(C152="Charity",N($H$7),0))),2)+IF(C152="Personal",0,N(J152)))</f>
        <v/>
      </c>
    </row>
    <row r="153" ht="19" customHeight="1">
      <c r="B153" s="23" t="n"/>
      <c r="C153" s="24" t="n"/>
      <c r="D153" s="25" t="n"/>
      <c r="E153" s="25" t="n"/>
      <c r="F153" s="25" t="n"/>
      <c r="G153" s="26" t="n"/>
      <c r="H153" s="26" t="n"/>
      <c r="I153" s="27">
        <f>IF(AND(ISNUMBER(G153),ISNUMBER(H153)),H153-G153,"")</f>
        <v/>
      </c>
      <c r="J153" s="28" t="n"/>
      <c r="K153" s="29">
        <f>IF(AND(I153="",J153=""),"",ROUND(N(I153)*IF(C153="Business",N($H$5),IF(C153="Medical",N($H$6),IF(C153="Charity",N($H$7),0))),2)+IF(C153="Personal",0,N(J153)))</f>
        <v/>
      </c>
    </row>
    <row r="154" ht="19" customHeight="1">
      <c r="B154" s="23" t="n"/>
      <c r="C154" s="24" t="n"/>
      <c r="D154" s="25" t="n"/>
      <c r="E154" s="25" t="n"/>
      <c r="F154" s="25" t="n"/>
      <c r="G154" s="26" t="n"/>
      <c r="H154" s="26" t="n"/>
      <c r="I154" s="27">
        <f>IF(AND(ISNUMBER(G154),ISNUMBER(H154)),H154-G154,"")</f>
        <v/>
      </c>
      <c r="J154" s="28" t="n"/>
      <c r="K154" s="29">
        <f>IF(AND(I154="",J154=""),"",ROUND(N(I154)*IF(C154="Business",N($H$5),IF(C154="Medical",N($H$6),IF(C154="Charity",N($H$7),0))),2)+IF(C154="Personal",0,N(J154)))</f>
        <v/>
      </c>
    </row>
    <row r="155" ht="19" customHeight="1">
      <c r="B155" s="23" t="n"/>
      <c r="C155" s="24" t="n"/>
      <c r="D155" s="25" t="n"/>
      <c r="E155" s="25" t="n"/>
      <c r="F155" s="25" t="n"/>
      <c r="G155" s="26" t="n"/>
      <c r="H155" s="26" t="n"/>
      <c r="I155" s="27">
        <f>IF(AND(ISNUMBER(G155),ISNUMBER(H155)),H155-G155,"")</f>
        <v/>
      </c>
      <c r="J155" s="28" t="n"/>
      <c r="K155" s="29">
        <f>IF(AND(I155="",J155=""),"",ROUND(N(I155)*IF(C155="Business",N($H$5),IF(C155="Medical",N($H$6),IF(C155="Charity",N($H$7),0))),2)+IF(C155="Personal",0,N(J155)))</f>
        <v/>
      </c>
    </row>
    <row r="156" ht="19" customHeight="1">
      <c r="B156" s="23" t="n"/>
      <c r="C156" s="24" t="n"/>
      <c r="D156" s="25" t="n"/>
      <c r="E156" s="25" t="n"/>
      <c r="F156" s="25" t="n"/>
      <c r="G156" s="26" t="n"/>
      <c r="H156" s="26" t="n"/>
      <c r="I156" s="27">
        <f>IF(AND(ISNUMBER(G156),ISNUMBER(H156)),H156-G156,"")</f>
        <v/>
      </c>
      <c r="J156" s="28" t="n"/>
      <c r="K156" s="29">
        <f>IF(AND(I156="",J156=""),"",ROUND(N(I156)*IF(C156="Business",N($H$5),IF(C156="Medical",N($H$6),IF(C156="Charity",N($H$7),0))),2)+IF(C156="Personal",0,N(J156)))</f>
        <v/>
      </c>
    </row>
    <row r="157" ht="19" customHeight="1">
      <c r="B157" s="23" t="n"/>
      <c r="C157" s="24" t="n"/>
      <c r="D157" s="25" t="n"/>
      <c r="E157" s="25" t="n"/>
      <c r="F157" s="25" t="n"/>
      <c r="G157" s="26" t="n"/>
      <c r="H157" s="26" t="n"/>
      <c r="I157" s="27">
        <f>IF(AND(ISNUMBER(G157),ISNUMBER(H157)),H157-G157,"")</f>
        <v/>
      </c>
      <c r="J157" s="28" t="n"/>
      <c r="K157" s="29">
        <f>IF(AND(I157="",J157=""),"",ROUND(N(I157)*IF(C157="Business",N($H$5),IF(C157="Medical",N($H$6),IF(C157="Charity",N($H$7),0))),2)+IF(C157="Personal",0,N(J157)))</f>
        <v/>
      </c>
    </row>
    <row r="158" ht="19" customHeight="1">
      <c r="B158" s="23" t="n"/>
      <c r="C158" s="24" t="n"/>
      <c r="D158" s="25" t="n"/>
      <c r="E158" s="25" t="n"/>
      <c r="F158" s="25" t="n"/>
      <c r="G158" s="26" t="n"/>
      <c r="H158" s="26" t="n"/>
      <c r="I158" s="27">
        <f>IF(AND(ISNUMBER(G158),ISNUMBER(H158)),H158-G158,"")</f>
        <v/>
      </c>
      <c r="J158" s="28" t="n"/>
      <c r="K158" s="29">
        <f>IF(AND(I158="",J158=""),"",ROUND(N(I158)*IF(C158="Business",N($H$5),IF(C158="Medical",N($H$6),IF(C158="Charity",N($H$7),0))),2)+IF(C158="Personal",0,N(J158)))</f>
        <v/>
      </c>
    </row>
    <row r="159" ht="19" customHeight="1">
      <c r="B159" s="23" t="n"/>
      <c r="C159" s="24" t="n"/>
      <c r="D159" s="25" t="n"/>
      <c r="E159" s="25" t="n"/>
      <c r="F159" s="25" t="n"/>
      <c r="G159" s="26" t="n"/>
      <c r="H159" s="26" t="n"/>
      <c r="I159" s="27">
        <f>IF(AND(ISNUMBER(G159),ISNUMBER(H159)),H159-G159,"")</f>
        <v/>
      </c>
      <c r="J159" s="28" t="n"/>
      <c r="K159" s="29">
        <f>IF(AND(I159="",J159=""),"",ROUND(N(I159)*IF(C159="Business",N($H$5),IF(C159="Medical",N($H$6),IF(C159="Charity",N($H$7),0))),2)+IF(C159="Personal",0,N(J159)))</f>
        <v/>
      </c>
    </row>
    <row r="160" ht="19" customHeight="1">
      <c r="B160" s="23" t="n"/>
      <c r="C160" s="24" t="n"/>
      <c r="D160" s="25" t="n"/>
      <c r="E160" s="25" t="n"/>
      <c r="F160" s="25" t="n"/>
      <c r="G160" s="26" t="n"/>
      <c r="H160" s="26" t="n"/>
      <c r="I160" s="27">
        <f>IF(AND(ISNUMBER(G160),ISNUMBER(H160)),H160-G160,"")</f>
        <v/>
      </c>
      <c r="J160" s="28" t="n"/>
      <c r="K160" s="29">
        <f>IF(AND(I160="",J160=""),"",ROUND(N(I160)*IF(C160="Business",N($H$5),IF(C160="Medical",N($H$6),IF(C160="Charity",N($H$7),0))),2)+IF(C160="Personal",0,N(J160)))</f>
        <v/>
      </c>
    </row>
    <row r="161" ht="19" customHeight="1">
      <c r="B161" s="23" t="n"/>
      <c r="C161" s="24" t="n"/>
      <c r="D161" s="25" t="n"/>
      <c r="E161" s="25" t="n"/>
      <c r="F161" s="25" t="n"/>
      <c r="G161" s="26" t="n"/>
      <c r="H161" s="26" t="n"/>
      <c r="I161" s="27">
        <f>IF(AND(ISNUMBER(G161),ISNUMBER(H161)),H161-G161,"")</f>
        <v/>
      </c>
      <c r="J161" s="28" t="n"/>
      <c r="K161" s="29">
        <f>IF(AND(I161="",J161=""),"",ROUND(N(I161)*IF(C161="Business",N($H$5),IF(C161="Medical",N($H$6),IF(C161="Charity",N($H$7),0))),2)+IF(C161="Personal",0,N(J161)))</f>
        <v/>
      </c>
    </row>
    <row r="162" ht="19" customHeight="1">
      <c r="B162" s="23" t="n"/>
      <c r="C162" s="24" t="n"/>
      <c r="D162" s="25" t="n"/>
      <c r="E162" s="25" t="n"/>
      <c r="F162" s="25" t="n"/>
      <c r="G162" s="26" t="n"/>
      <c r="H162" s="26" t="n"/>
      <c r="I162" s="27">
        <f>IF(AND(ISNUMBER(G162),ISNUMBER(H162)),H162-G162,"")</f>
        <v/>
      </c>
      <c r="J162" s="28" t="n"/>
      <c r="K162" s="29">
        <f>IF(AND(I162="",J162=""),"",ROUND(N(I162)*IF(C162="Business",N($H$5),IF(C162="Medical",N($H$6),IF(C162="Charity",N($H$7),0))),2)+IF(C162="Personal",0,N(J162)))</f>
        <v/>
      </c>
    </row>
    <row r="163" ht="19" customHeight="1">
      <c r="B163" s="23" t="n"/>
      <c r="C163" s="24" t="n"/>
      <c r="D163" s="25" t="n"/>
      <c r="E163" s="25" t="n"/>
      <c r="F163" s="25" t="n"/>
      <c r="G163" s="26" t="n"/>
      <c r="H163" s="26" t="n"/>
      <c r="I163" s="27">
        <f>IF(AND(ISNUMBER(G163),ISNUMBER(H163)),H163-G163,"")</f>
        <v/>
      </c>
      <c r="J163" s="28" t="n"/>
      <c r="K163" s="29">
        <f>IF(AND(I163="",J163=""),"",ROUND(N(I163)*IF(C163="Business",N($H$5),IF(C163="Medical",N($H$6),IF(C163="Charity",N($H$7),0))),2)+IF(C163="Personal",0,N(J163)))</f>
        <v/>
      </c>
    </row>
    <row r="164" ht="19" customHeight="1">
      <c r="B164" s="23" t="n"/>
      <c r="C164" s="24" t="n"/>
      <c r="D164" s="25" t="n"/>
      <c r="E164" s="25" t="n"/>
      <c r="F164" s="25" t="n"/>
      <c r="G164" s="26" t="n"/>
      <c r="H164" s="26" t="n"/>
      <c r="I164" s="27">
        <f>IF(AND(ISNUMBER(G164),ISNUMBER(H164)),H164-G164,"")</f>
        <v/>
      </c>
      <c r="J164" s="28" t="n"/>
      <c r="K164" s="29">
        <f>IF(AND(I164="",J164=""),"",ROUND(N(I164)*IF(C164="Business",N($H$5),IF(C164="Medical",N($H$6),IF(C164="Charity",N($H$7),0))),2)+IF(C164="Personal",0,N(J164)))</f>
        <v/>
      </c>
    </row>
    <row r="165" ht="19" customHeight="1">
      <c r="B165" s="23" t="n"/>
      <c r="C165" s="24" t="n"/>
      <c r="D165" s="25" t="n"/>
      <c r="E165" s="25" t="n"/>
      <c r="F165" s="25" t="n"/>
      <c r="G165" s="26" t="n"/>
      <c r="H165" s="26" t="n"/>
      <c r="I165" s="27">
        <f>IF(AND(ISNUMBER(G165),ISNUMBER(H165)),H165-G165,"")</f>
        <v/>
      </c>
      <c r="J165" s="28" t="n"/>
      <c r="K165" s="29">
        <f>IF(AND(I165="",J165=""),"",ROUND(N(I165)*IF(C165="Business",N($H$5),IF(C165="Medical",N($H$6),IF(C165="Charity",N($H$7),0))),2)+IF(C165="Personal",0,N(J165)))</f>
        <v/>
      </c>
    </row>
    <row r="166" ht="19" customHeight="1">
      <c r="B166" s="23" t="n"/>
      <c r="C166" s="24" t="n"/>
      <c r="D166" s="25" t="n"/>
      <c r="E166" s="25" t="n"/>
      <c r="F166" s="25" t="n"/>
      <c r="G166" s="26" t="n"/>
      <c r="H166" s="26" t="n"/>
      <c r="I166" s="27">
        <f>IF(AND(ISNUMBER(G166),ISNUMBER(H166)),H166-G166,"")</f>
        <v/>
      </c>
      <c r="J166" s="28" t="n"/>
      <c r="K166" s="29">
        <f>IF(AND(I166="",J166=""),"",ROUND(N(I166)*IF(C166="Business",N($H$5),IF(C166="Medical",N($H$6),IF(C166="Charity",N($H$7),0))),2)+IF(C166="Personal",0,N(J166)))</f>
        <v/>
      </c>
    </row>
    <row r="167" ht="19" customHeight="1">
      <c r="B167" s="23" t="n"/>
      <c r="C167" s="24" t="n"/>
      <c r="D167" s="25" t="n"/>
      <c r="E167" s="25" t="n"/>
      <c r="F167" s="25" t="n"/>
      <c r="G167" s="26" t="n"/>
      <c r="H167" s="26" t="n"/>
      <c r="I167" s="27">
        <f>IF(AND(ISNUMBER(G167),ISNUMBER(H167)),H167-G167,"")</f>
        <v/>
      </c>
      <c r="J167" s="28" t="n"/>
      <c r="K167" s="29">
        <f>IF(AND(I167="",J167=""),"",ROUND(N(I167)*IF(C167="Business",N($H$5),IF(C167="Medical",N($H$6),IF(C167="Charity",N($H$7),0))),2)+IF(C167="Personal",0,N(J167)))</f>
        <v/>
      </c>
    </row>
    <row r="168" ht="19" customHeight="1">
      <c r="B168" s="23" t="n"/>
      <c r="C168" s="24" t="n"/>
      <c r="D168" s="25" t="n"/>
      <c r="E168" s="25" t="n"/>
      <c r="F168" s="25" t="n"/>
      <c r="G168" s="26" t="n"/>
      <c r="H168" s="26" t="n"/>
      <c r="I168" s="27">
        <f>IF(AND(ISNUMBER(G168),ISNUMBER(H168)),H168-G168,"")</f>
        <v/>
      </c>
      <c r="J168" s="28" t="n"/>
      <c r="K168" s="29">
        <f>IF(AND(I168="",J168=""),"",ROUND(N(I168)*IF(C168="Business",N($H$5),IF(C168="Medical",N($H$6),IF(C168="Charity",N($H$7),0))),2)+IF(C168="Personal",0,N(J168)))</f>
        <v/>
      </c>
    </row>
    <row r="169" ht="19" customHeight="1">
      <c r="B169" s="23" t="n"/>
      <c r="C169" s="24" t="n"/>
      <c r="D169" s="25" t="n"/>
      <c r="E169" s="25" t="n"/>
      <c r="F169" s="25" t="n"/>
      <c r="G169" s="26" t="n"/>
      <c r="H169" s="26" t="n"/>
      <c r="I169" s="27">
        <f>IF(AND(ISNUMBER(G169),ISNUMBER(H169)),H169-G169,"")</f>
        <v/>
      </c>
      <c r="J169" s="28" t="n"/>
      <c r="K169" s="29">
        <f>IF(AND(I169="",J169=""),"",ROUND(N(I169)*IF(C169="Business",N($H$5),IF(C169="Medical",N($H$6),IF(C169="Charity",N($H$7),0))),2)+IF(C169="Personal",0,N(J169)))</f>
        <v/>
      </c>
    </row>
    <row r="170" ht="19" customHeight="1">
      <c r="B170" s="23" t="n"/>
      <c r="C170" s="24" t="n"/>
      <c r="D170" s="25" t="n"/>
      <c r="E170" s="25" t="n"/>
      <c r="F170" s="25" t="n"/>
      <c r="G170" s="26" t="n"/>
      <c r="H170" s="26" t="n"/>
      <c r="I170" s="27">
        <f>IF(AND(ISNUMBER(G170),ISNUMBER(H170)),H170-G170,"")</f>
        <v/>
      </c>
      <c r="J170" s="28" t="n"/>
      <c r="K170" s="29">
        <f>IF(AND(I170="",J170=""),"",ROUND(N(I170)*IF(C170="Business",N($H$5),IF(C170="Medical",N($H$6),IF(C170="Charity",N($H$7),0))),2)+IF(C170="Personal",0,N(J170)))</f>
        <v/>
      </c>
    </row>
    <row r="171" ht="19" customHeight="1">
      <c r="B171" s="23" t="n"/>
      <c r="C171" s="24" t="n"/>
      <c r="D171" s="25" t="n"/>
      <c r="E171" s="25" t="n"/>
      <c r="F171" s="25" t="n"/>
      <c r="G171" s="26" t="n"/>
      <c r="H171" s="26" t="n"/>
      <c r="I171" s="27">
        <f>IF(AND(ISNUMBER(G171),ISNUMBER(H171)),H171-G171,"")</f>
        <v/>
      </c>
      <c r="J171" s="28" t="n"/>
      <c r="K171" s="29">
        <f>IF(AND(I171="",J171=""),"",ROUND(N(I171)*IF(C171="Business",N($H$5),IF(C171="Medical",N($H$6),IF(C171="Charity",N($H$7),0))),2)+IF(C171="Personal",0,N(J171)))</f>
        <v/>
      </c>
    </row>
    <row r="172" ht="19" customHeight="1">
      <c r="B172" s="23" t="n"/>
      <c r="C172" s="24" t="n"/>
      <c r="D172" s="25" t="n"/>
      <c r="E172" s="25" t="n"/>
      <c r="F172" s="25" t="n"/>
      <c r="G172" s="26" t="n"/>
      <c r="H172" s="26" t="n"/>
      <c r="I172" s="27">
        <f>IF(AND(ISNUMBER(G172),ISNUMBER(H172)),H172-G172,"")</f>
        <v/>
      </c>
      <c r="J172" s="28" t="n"/>
      <c r="K172" s="29">
        <f>IF(AND(I172="",J172=""),"",ROUND(N(I172)*IF(C172="Business",N($H$5),IF(C172="Medical",N($H$6),IF(C172="Charity",N($H$7),0))),2)+IF(C172="Personal",0,N(J172)))</f>
        <v/>
      </c>
    </row>
    <row r="173" ht="19" customHeight="1">
      <c r="B173" s="23" t="n"/>
      <c r="C173" s="24" t="n"/>
      <c r="D173" s="25" t="n"/>
      <c r="E173" s="25" t="n"/>
      <c r="F173" s="25" t="n"/>
      <c r="G173" s="26" t="n"/>
      <c r="H173" s="26" t="n"/>
      <c r="I173" s="27">
        <f>IF(AND(ISNUMBER(G173),ISNUMBER(H173)),H173-G173,"")</f>
        <v/>
      </c>
      <c r="J173" s="28" t="n"/>
      <c r="K173" s="29">
        <f>IF(AND(I173="",J173=""),"",ROUND(N(I173)*IF(C173="Business",N($H$5),IF(C173="Medical",N($H$6),IF(C173="Charity",N($H$7),0))),2)+IF(C173="Personal",0,N(J173)))</f>
        <v/>
      </c>
    </row>
    <row r="174" ht="19" customHeight="1">
      <c r="B174" s="23" t="n"/>
      <c r="C174" s="24" t="n"/>
      <c r="D174" s="25" t="n"/>
      <c r="E174" s="25" t="n"/>
      <c r="F174" s="25" t="n"/>
      <c r="G174" s="26" t="n"/>
      <c r="H174" s="26" t="n"/>
      <c r="I174" s="27">
        <f>IF(AND(ISNUMBER(G174),ISNUMBER(H174)),H174-G174,"")</f>
        <v/>
      </c>
      <c r="J174" s="28" t="n"/>
      <c r="K174" s="29">
        <f>IF(AND(I174="",J174=""),"",ROUND(N(I174)*IF(C174="Business",N($H$5),IF(C174="Medical",N($H$6),IF(C174="Charity",N($H$7),0))),2)+IF(C174="Personal",0,N(J174)))</f>
        <v/>
      </c>
    </row>
    <row r="175" ht="19" customHeight="1">
      <c r="B175" s="23" t="n"/>
      <c r="C175" s="24" t="n"/>
      <c r="D175" s="25" t="n"/>
      <c r="E175" s="25" t="n"/>
      <c r="F175" s="25" t="n"/>
      <c r="G175" s="26" t="n"/>
      <c r="H175" s="26" t="n"/>
      <c r="I175" s="27">
        <f>IF(AND(ISNUMBER(G175),ISNUMBER(H175)),H175-G175,"")</f>
        <v/>
      </c>
      <c r="J175" s="28" t="n"/>
      <c r="K175" s="29">
        <f>IF(AND(I175="",J175=""),"",ROUND(N(I175)*IF(C175="Business",N($H$5),IF(C175="Medical",N($H$6),IF(C175="Charity",N($H$7),0))),2)+IF(C175="Personal",0,N(J175)))</f>
        <v/>
      </c>
    </row>
    <row r="176" ht="19" customHeight="1">
      <c r="B176" s="23" t="n"/>
      <c r="C176" s="24" t="n"/>
      <c r="D176" s="25" t="n"/>
      <c r="E176" s="25" t="n"/>
      <c r="F176" s="25" t="n"/>
      <c r="G176" s="26" t="n"/>
      <c r="H176" s="26" t="n"/>
      <c r="I176" s="27">
        <f>IF(AND(ISNUMBER(G176),ISNUMBER(H176)),H176-G176,"")</f>
        <v/>
      </c>
      <c r="J176" s="28" t="n"/>
      <c r="K176" s="29">
        <f>IF(AND(I176="",J176=""),"",ROUND(N(I176)*IF(C176="Business",N($H$5),IF(C176="Medical",N($H$6),IF(C176="Charity",N($H$7),0))),2)+IF(C176="Personal",0,N(J176)))</f>
        <v/>
      </c>
    </row>
    <row r="177" ht="19" customHeight="1">
      <c r="B177" s="23" t="n"/>
      <c r="C177" s="24" t="n"/>
      <c r="D177" s="25" t="n"/>
      <c r="E177" s="25" t="n"/>
      <c r="F177" s="25" t="n"/>
      <c r="G177" s="26" t="n"/>
      <c r="H177" s="26" t="n"/>
      <c r="I177" s="27">
        <f>IF(AND(ISNUMBER(G177),ISNUMBER(H177)),H177-G177,"")</f>
        <v/>
      </c>
      <c r="J177" s="28" t="n"/>
      <c r="K177" s="29">
        <f>IF(AND(I177="",J177=""),"",ROUND(N(I177)*IF(C177="Business",N($H$5),IF(C177="Medical",N($H$6),IF(C177="Charity",N($H$7),0))),2)+IF(C177="Personal",0,N(J177)))</f>
        <v/>
      </c>
    </row>
    <row r="178" ht="19" customHeight="1">
      <c r="B178" s="23" t="n"/>
      <c r="C178" s="24" t="n"/>
      <c r="D178" s="25" t="n"/>
      <c r="E178" s="25" t="n"/>
      <c r="F178" s="25" t="n"/>
      <c r="G178" s="26" t="n"/>
      <c r="H178" s="26" t="n"/>
      <c r="I178" s="27">
        <f>IF(AND(ISNUMBER(G178),ISNUMBER(H178)),H178-G178,"")</f>
        <v/>
      </c>
      <c r="J178" s="28" t="n"/>
      <c r="K178" s="29">
        <f>IF(AND(I178="",J178=""),"",ROUND(N(I178)*IF(C178="Business",N($H$5),IF(C178="Medical",N($H$6),IF(C178="Charity",N($H$7),0))),2)+IF(C178="Personal",0,N(J178)))</f>
        <v/>
      </c>
    </row>
    <row r="179" ht="19" customHeight="1">
      <c r="B179" s="23" t="n"/>
      <c r="C179" s="24" t="n"/>
      <c r="D179" s="25" t="n"/>
      <c r="E179" s="25" t="n"/>
      <c r="F179" s="25" t="n"/>
      <c r="G179" s="26" t="n"/>
      <c r="H179" s="26" t="n"/>
      <c r="I179" s="27">
        <f>IF(AND(ISNUMBER(G179),ISNUMBER(H179)),H179-G179,"")</f>
        <v/>
      </c>
      <c r="J179" s="28" t="n"/>
      <c r="K179" s="29">
        <f>IF(AND(I179="",J179=""),"",ROUND(N(I179)*IF(C179="Business",N($H$5),IF(C179="Medical",N($H$6),IF(C179="Charity",N($H$7),0))),2)+IF(C179="Personal",0,N(J179)))</f>
        <v/>
      </c>
    </row>
    <row r="180" ht="19" customHeight="1">
      <c r="B180" s="23" t="n"/>
      <c r="C180" s="24" t="n"/>
      <c r="D180" s="25" t="n"/>
      <c r="E180" s="25" t="n"/>
      <c r="F180" s="25" t="n"/>
      <c r="G180" s="26" t="n"/>
      <c r="H180" s="26" t="n"/>
      <c r="I180" s="27">
        <f>IF(AND(ISNUMBER(G180),ISNUMBER(H180)),H180-G180,"")</f>
        <v/>
      </c>
      <c r="J180" s="28" t="n"/>
      <c r="K180" s="29">
        <f>IF(AND(I180="",J180=""),"",ROUND(N(I180)*IF(C180="Business",N($H$5),IF(C180="Medical",N($H$6),IF(C180="Charity",N($H$7),0))),2)+IF(C180="Personal",0,N(J180)))</f>
        <v/>
      </c>
    </row>
    <row r="181" ht="19" customHeight="1">
      <c r="B181" s="23" t="n"/>
      <c r="C181" s="24" t="n"/>
      <c r="D181" s="25" t="n"/>
      <c r="E181" s="25" t="n"/>
      <c r="F181" s="25" t="n"/>
      <c r="G181" s="26" t="n"/>
      <c r="H181" s="26" t="n"/>
      <c r="I181" s="27">
        <f>IF(AND(ISNUMBER(G181),ISNUMBER(H181)),H181-G181,"")</f>
        <v/>
      </c>
      <c r="J181" s="28" t="n"/>
      <c r="K181" s="29">
        <f>IF(AND(I181="",J181=""),"",ROUND(N(I181)*IF(C181="Business",N($H$5),IF(C181="Medical",N($H$6),IF(C181="Charity",N($H$7),0))),2)+IF(C181="Personal",0,N(J181)))</f>
        <v/>
      </c>
    </row>
    <row r="182" ht="19" customHeight="1">
      <c r="B182" s="23" t="n"/>
      <c r="C182" s="24" t="n"/>
      <c r="D182" s="25" t="n"/>
      <c r="E182" s="25" t="n"/>
      <c r="F182" s="25" t="n"/>
      <c r="G182" s="26" t="n"/>
      <c r="H182" s="26" t="n"/>
      <c r="I182" s="27">
        <f>IF(AND(ISNUMBER(G182),ISNUMBER(H182)),H182-G182,"")</f>
        <v/>
      </c>
      <c r="J182" s="28" t="n"/>
      <c r="K182" s="29">
        <f>IF(AND(I182="",J182=""),"",ROUND(N(I182)*IF(C182="Business",N($H$5),IF(C182="Medical",N($H$6),IF(C182="Charity",N($H$7),0))),2)+IF(C182="Personal",0,N(J182)))</f>
        <v/>
      </c>
    </row>
    <row r="183" ht="19" customHeight="1">
      <c r="B183" s="23" t="n"/>
      <c r="C183" s="24" t="n"/>
      <c r="D183" s="25" t="n"/>
      <c r="E183" s="25" t="n"/>
      <c r="F183" s="25" t="n"/>
      <c r="G183" s="26" t="n"/>
      <c r="H183" s="26" t="n"/>
      <c r="I183" s="27">
        <f>IF(AND(ISNUMBER(G183),ISNUMBER(H183)),H183-G183,"")</f>
        <v/>
      </c>
      <c r="J183" s="28" t="n"/>
      <c r="K183" s="29">
        <f>IF(AND(I183="",J183=""),"",ROUND(N(I183)*IF(C183="Business",N($H$5),IF(C183="Medical",N($H$6),IF(C183="Charity",N($H$7),0))),2)+IF(C183="Personal",0,N(J183)))</f>
        <v/>
      </c>
    </row>
    <row r="184" ht="19" customHeight="1">
      <c r="B184" s="23" t="n"/>
      <c r="C184" s="24" t="n"/>
      <c r="D184" s="25" t="n"/>
      <c r="E184" s="25" t="n"/>
      <c r="F184" s="25" t="n"/>
      <c r="G184" s="26" t="n"/>
      <c r="H184" s="26" t="n"/>
      <c r="I184" s="27">
        <f>IF(AND(ISNUMBER(G184),ISNUMBER(H184)),H184-G184,"")</f>
        <v/>
      </c>
      <c r="J184" s="28" t="n"/>
      <c r="K184" s="29">
        <f>IF(AND(I184="",J184=""),"",ROUND(N(I184)*IF(C184="Business",N($H$5),IF(C184="Medical",N($H$6),IF(C184="Charity",N($H$7),0))),2)+IF(C184="Personal",0,N(J184)))</f>
        <v/>
      </c>
    </row>
    <row r="185" ht="19" customHeight="1">
      <c r="B185" s="23" t="n"/>
      <c r="C185" s="24" t="n"/>
      <c r="D185" s="25" t="n"/>
      <c r="E185" s="25" t="n"/>
      <c r="F185" s="25" t="n"/>
      <c r="G185" s="26" t="n"/>
      <c r="H185" s="26" t="n"/>
      <c r="I185" s="27">
        <f>IF(AND(ISNUMBER(G185),ISNUMBER(H185)),H185-G185,"")</f>
        <v/>
      </c>
      <c r="J185" s="28" t="n"/>
      <c r="K185" s="29">
        <f>IF(AND(I185="",J185=""),"",ROUND(N(I185)*IF(C185="Business",N($H$5),IF(C185="Medical",N($H$6),IF(C185="Charity",N($H$7),0))),2)+IF(C185="Personal",0,N(J185)))</f>
        <v/>
      </c>
    </row>
    <row r="186" ht="19" customHeight="1">
      <c r="B186" s="23" t="n"/>
      <c r="C186" s="24" t="n"/>
      <c r="D186" s="25" t="n"/>
      <c r="E186" s="25" t="n"/>
      <c r="F186" s="25" t="n"/>
      <c r="G186" s="26" t="n"/>
      <c r="H186" s="26" t="n"/>
      <c r="I186" s="27">
        <f>IF(AND(ISNUMBER(G186),ISNUMBER(H186)),H186-G186,"")</f>
        <v/>
      </c>
      <c r="J186" s="28" t="n"/>
      <c r="K186" s="29">
        <f>IF(AND(I186="",J186=""),"",ROUND(N(I186)*IF(C186="Business",N($H$5),IF(C186="Medical",N($H$6),IF(C186="Charity",N($H$7),0))),2)+IF(C186="Personal",0,N(J186)))</f>
        <v/>
      </c>
    </row>
    <row r="187" ht="19" customHeight="1">
      <c r="B187" s="23" t="n"/>
      <c r="C187" s="24" t="n"/>
      <c r="D187" s="25" t="n"/>
      <c r="E187" s="25" t="n"/>
      <c r="F187" s="25" t="n"/>
      <c r="G187" s="26" t="n"/>
      <c r="H187" s="26" t="n"/>
      <c r="I187" s="27">
        <f>IF(AND(ISNUMBER(G187),ISNUMBER(H187)),H187-G187,"")</f>
        <v/>
      </c>
      <c r="J187" s="28" t="n"/>
      <c r="K187" s="29">
        <f>IF(AND(I187="",J187=""),"",ROUND(N(I187)*IF(C187="Business",N($H$5),IF(C187="Medical",N($H$6),IF(C187="Charity",N($H$7),0))),2)+IF(C187="Personal",0,N(J187)))</f>
        <v/>
      </c>
    </row>
    <row r="188" ht="19" customHeight="1">
      <c r="B188" s="23" t="n"/>
      <c r="C188" s="24" t="n"/>
      <c r="D188" s="25" t="n"/>
      <c r="E188" s="25" t="n"/>
      <c r="F188" s="25" t="n"/>
      <c r="G188" s="26" t="n"/>
      <c r="H188" s="26" t="n"/>
      <c r="I188" s="27">
        <f>IF(AND(ISNUMBER(G188),ISNUMBER(H188)),H188-G188,"")</f>
        <v/>
      </c>
      <c r="J188" s="28" t="n"/>
      <c r="K188" s="29">
        <f>IF(AND(I188="",J188=""),"",ROUND(N(I188)*IF(C188="Business",N($H$5),IF(C188="Medical",N($H$6),IF(C188="Charity",N($H$7),0))),2)+IF(C188="Personal",0,N(J188)))</f>
        <v/>
      </c>
    </row>
    <row r="189" ht="19" customHeight="1">
      <c r="B189" s="23" t="n"/>
      <c r="C189" s="24" t="n"/>
      <c r="D189" s="25" t="n"/>
      <c r="E189" s="25" t="n"/>
      <c r="F189" s="25" t="n"/>
      <c r="G189" s="26" t="n"/>
      <c r="H189" s="26" t="n"/>
      <c r="I189" s="27">
        <f>IF(AND(ISNUMBER(G189),ISNUMBER(H189)),H189-G189,"")</f>
        <v/>
      </c>
      <c r="J189" s="28" t="n"/>
      <c r="K189" s="29">
        <f>IF(AND(I189="",J189=""),"",ROUND(N(I189)*IF(C189="Business",N($H$5),IF(C189="Medical",N($H$6),IF(C189="Charity",N($H$7),0))),2)+IF(C189="Personal",0,N(J189)))</f>
        <v/>
      </c>
    </row>
    <row r="190" ht="19" customHeight="1">
      <c r="B190" s="23" t="n"/>
      <c r="C190" s="24" t="n"/>
      <c r="D190" s="25" t="n"/>
      <c r="E190" s="25" t="n"/>
      <c r="F190" s="25" t="n"/>
      <c r="G190" s="26" t="n"/>
      <c r="H190" s="26" t="n"/>
      <c r="I190" s="27">
        <f>IF(AND(ISNUMBER(G190),ISNUMBER(H190)),H190-G190,"")</f>
        <v/>
      </c>
      <c r="J190" s="28" t="n"/>
      <c r="K190" s="29">
        <f>IF(AND(I190="",J190=""),"",ROUND(N(I190)*IF(C190="Business",N($H$5),IF(C190="Medical",N($H$6),IF(C190="Charity",N($H$7),0))),2)+IF(C190="Personal",0,N(J190)))</f>
        <v/>
      </c>
    </row>
    <row r="191" ht="19" customHeight="1">
      <c r="B191" s="23" t="n"/>
      <c r="C191" s="24" t="n"/>
      <c r="D191" s="25" t="n"/>
      <c r="E191" s="25" t="n"/>
      <c r="F191" s="25" t="n"/>
      <c r="G191" s="26" t="n"/>
      <c r="H191" s="26" t="n"/>
      <c r="I191" s="27">
        <f>IF(AND(ISNUMBER(G191),ISNUMBER(H191)),H191-G191,"")</f>
        <v/>
      </c>
      <c r="J191" s="28" t="n"/>
      <c r="K191" s="29">
        <f>IF(AND(I191="",J191=""),"",ROUND(N(I191)*IF(C191="Business",N($H$5),IF(C191="Medical",N($H$6),IF(C191="Charity",N($H$7),0))),2)+IF(C191="Personal",0,N(J191)))</f>
        <v/>
      </c>
    </row>
    <row r="192" ht="19" customHeight="1">
      <c r="B192" s="23" t="n"/>
      <c r="C192" s="24" t="n"/>
      <c r="D192" s="25" t="n"/>
      <c r="E192" s="25" t="n"/>
      <c r="F192" s="25" t="n"/>
      <c r="G192" s="26" t="n"/>
      <c r="H192" s="26" t="n"/>
      <c r="I192" s="27">
        <f>IF(AND(ISNUMBER(G192),ISNUMBER(H192)),H192-G192,"")</f>
        <v/>
      </c>
      <c r="J192" s="28" t="n"/>
      <c r="K192" s="29">
        <f>IF(AND(I192="",J192=""),"",ROUND(N(I192)*IF(C192="Business",N($H$5),IF(C192="Medical",N($H$6),IF(C192="Charity",N($H$7),0))),2)+IF(C192="Personal",0,N(J192)))</f>
        <v/>
      </c>
    </row>
    <row r="193" ht="19" customHeight="1">
      <c r="B193" s="23" t="n"/>
      <c r="C193" s="24" t="n"/>
      <c r="D193" s="25" t="n"/>
      <c r="E193" s="25" t="n"/>
      <c r="F193" s="25" t="n"/>
      <c r="G193" s="26" t="n"/>
      <c r="H193" s="26" t="n"/>
      <c r="I193" s="27">
        <f>IF(AND(ISNUMBER(G193),ISNUMBER(H193)),H193-G193,"")</f>
        <v/>
      </c>
      <c r="J193" s="28" t="n"/>
      <c r="K193" s="29">
        <f>IF(AND(I193="",J193=""),"",ROUND(N(I193)*IF(C193="Business",N($H$5),IF(C193="Medical",N($H$6),IF(C193="Charity",N($H$7),0))),2)+IF(C193="Personal",0,N(J193)))</f>
        <v/>
      </c>
    </row>
    <row r="194" ht="19" customHeight="1">
      <c r="B194" s="23" t="n"/>
      <c r="C194" s="24" t="n"/>
      <c r="D194" s="25" t="n"/>
      <c r="E194" s="25" t="n"/>
      <c r="F194" s="25" t="n"/>
      <c r="G194" s="26" t="n"/>
      <c r="H194" s="26" t="n"/>
      <c r="I194" s="27">
        <f>IF(AND(ISNUMBER(G194),ISNUMBER(H194)),H194-G194,"")</f>
        <v/>
      </c>
      <c r="J194" s="28" t="n"/>
      <c r="K194" s="29">
        <f>IF(AND(I194="",J194=""),"",ROUND(N(I194)*IF(C194="Business",N($H$5),IF(C194="Medical",N($H$6),IF(C194="Charity",N($H$7),0))),2)+IF(C194="Personal",0,N(J194)))</f>
        <v/>
      </c>
    </row>
    <row r="195" ht="19" customHeight="1">
      <c r="B195" s="23" t="n"/>
      <c r="C195" s="24" t="n"/>
      <c r="D195" s="25" t="n"/>
      <c r="E195" s="25" t="n"/>
      <c r="F195" s="25" t="n"/>
      <c r="G195" s="26" t="n"/>
      <c r="H195" s="26" t="n"/>
      <c r="I195" s="27">
        <f>IF(AND(ISNUMBER(G195),ISNUMBER(H195)),H195-G195,"")</f>
        <v/>
      </c>
      <c r="J195" s="28" t="n"/>
      <c r="K195" s="29">
        <f>IF(AND(I195="",J195=""),"",ROUND(N(I195)*IF(C195="Business",N($H$5),IF(C195="Medical",N($H$6),IF(C195="Charity",N($H$7),0))),2)+IF(C195="Personal",0,N(J195)))</f>
        <v/>
      </c>
    </row>
    <row r="196" ht="19" customHeight="1">
      <c r="B196" s="23" t="n"/>
      <c r="C196" s="24" t="n"/>
      <c r="D196" s="25" t="n"/>
      <c r="E196" s="25" t="n"/>
      <c r="F196" s="25" t="n"/>
      <c r="G196" s="26" t="n"/>
      <c r="H196" s="26" t="n"/>
      <c r="I196" s="27">
        <f>IF(AND(ISNUMBER(G196),ISNUMBER(H196)),H196-G196,"")</f>
        <v/>
      </c>
      <c r="J196" s="28" t="n"/>
      <c r="K196" s="29">
        <f>IF(AND(I196="",J196=""),"",ROUND(N(I196)*IF(C196="Business",N($H$5),IF(C196="Medical",N($H$6),IF(C196="Charity",N($H$7),0))),2)+IF(C196="Personal",0,N(J196)))</f>
        <v/>
      </c>
    </row>
    <row r="197" ht="19" customHeight="1">
      <c r="B197" s="23" t="n"/>
      <c r="C197" s="24" t="n"/>
      <c r="D197" s="25" t="n"/>
      <c r="E197" s="25" t="n"/>
      <c r="F197" s="25" t="n"/>
      <c r="G197" s="26" t="n"/>
      <c r="H197" s="26" t="n"/>
      <c r="I197" s="27">
        <f>IF(AND(ISNUMBER(G197),ISNUMBER(H197)),H197-G197,"")</f>
        <v/>
      </c>
      <c r="J197" s="28" t="n"/>
      <c r="K197" s="29">
        <f>IF(AND(I197="",J197=""),"",ROUND(N(I197)*IF(C197="Business",N($H$5),IF(C197="Medical",N($H$6),IF(C197="Charity",N($H$7),0))),2)+IF(C197="Personal",0,N(J197)))</f>
        <v/>
      </c>
    </row>
    <row r="198" ht="19" customHeight="1">
      <c r="B198" s="23" t="n"/>
      <c r="C198" s="24" t="n"/>
      <c r="D198" s="25" t="n"/>
      <c r="E198" s="25" t="n"/>
      <c r="F198" s="25" t="n"/>
      <c r="G198" s="26" t="n"/>
      <c r="H198" s="26" t="n"/>
      <c r="I198" s="27">
        <f>IF(AND(ISNUMBER(G198),ISNUMBER(H198)),H198-G198,"")</f>
        <v/>
      </c>
      <c r="J198" s="28" t="n"/>
      <c r="K198" s="29">
        <f>IF(AND(I198="",J198=""),"",ROUND(N(I198)*IF(C198="Business",N($H$5),IF(C198="Medical",N($H$6),IF(C198="Charity",N($H$7),0))),2)+IF(C198="Personal",0,N(J198)))</f>
        <v/>
      </c>
    </row>
    <row r="199" ht="19" customHeight="1">
      <c r="B199" s="23" t="n"/>
      <c r="C199" s="24" t="n"/>
      <c r="D199" s="25" t="n"/>
      <c r="E199" s="25" t="n"/>
      <c r="F199" s="25" t="n"/>
      <c r="G199" s="26" t="n"/>
      <c r="H199" s="26" t="n"/>
      <c r="I199" s="27">
        <f>IF(AND(ISNUMBER(G199),ISNUMBER(H199)),H199-G199,"")</f>
        <v/>
      </c>
      <c r="J199" s="28" t="n"/>
      <c r="K199" s="29">
        <f>IF(AND(I199="",J199=""),"",ROUND(N(I199)*IF(C199="Business",N($H$5),IF(C199="Medical",N($H$6),IF(C199="Charity",N($H$7),0))),2)+IF(C199="Personal",0,N(J199)))</f>
        <v/>
      </c>
    </row>
    <row r="200" ht="19" customHeight="1">
      <c r="B200" s="23" t="n"/>
      <c r="C200" s="24" t="n"/>
      <c r="D200" s="25" t="n"/>
      <c r="E200" s="25" t="n"/>
      <c r="F200" s="25" t="n"/>
      <c r="G200" s="26" t="n"/>
      <c r="H200" s="26" t="n"/>
      <c r="I200" s="27">
        <f>IF(AND(ISNUMBER(G200),ISNUMBER(H200)),H200-G200,"")</f>
        <v/>
      </c>
      <c r="J200" s="28" t="n"/>
      <c r="K200" s="29">
        <f>IF(AND(I200="",J200=""),"",ROUND(N(I200)*IF(C200="Business",N($H$5),IF(C200="Medical",N($H$6),IF(C200="Charity",N($H$7),0))),2)+IF(C200="Personal",0,N(J200)))</f>
        <v/>
      </c>
    </row>
    <row r="201" ht="19" customHeight="1">
      <c r="B201" s="23" t="n"/>
      <c r="C201" s="24" t="n"/>
      <c r="D201" s="25" t="n"/>
      <c r="E201" s="25" t="n"/>
      <c r="F201" s="25" t="n"/>
      <c r="G201" s="26" t="n"/>
      <c r="H201" s="26" t="n"/>
      <c r="I201" s="27">
        <f>IF(AND(ISNUMBER(G201),ISNUMBER(H201)),H201-G201,"")</f>
        <v/>
      </c>
      <c r="J201" s="28" t="n"/>
      <c r="K201" s="29">
        <f>IF(AND(I201="",J201=""),"",ROUND(N(I201)*IF(C201="Business",N($H$5),IF(C201="Medical",N($H$6),IF(C201="Charity",N($H$7),0))),2)+IF(C201="Personal",0,N(J201)))</f>
        <v/>
      </c>
    </row>
    <row r="202" ht="19" customHeight="1">
      <c r="B202" s="23" t="n"/>
      <c r="C202" s="24" t="n"/>
      <c r="D202" s="25" t="n"/>
      <c r="E202" s="25" t="n"/>
      <c r="F202" s="25" t="n"/>
      <c r="G202" s="26" t="n"/>
      <c r="H202" s="26" t="n"/>
      <c r="I202" s="27">
        <f>IF(AND(ISNUMBER(G202),ISNUMBER(H202)),H202-G202,"")</f>
        <v/>
      </c>
      <c r="J202" s="28" t="n"/>
      <c r="K202" s="29">
        <f>IF(AND(I202="",J202=""),"",ROUND(N(I202)*IF(C202="Business",N($H$5),IF(C202="Medical",N($H$6),IF(C202="Charity",N($H$7),0))),2)+IF(C202="Personal",0,N(J202)))</f>
        <v/>
      </c>
    </row>
    <row r="203" ht="19" customHeight="1">
      <c r="B203" s="23" t="n"/>
      <c r="C203" s="24" t="n"/>
      <c r="D203" s="25" t="n"/>
      <c r="E203" s="25" t="n"/>
      <c r="F203" s="25" t="n"/>
      <c r="G203" s="26" t="n"/>
      <c r="H203" s="26" t="n"/>
      <c r="I203" s="27">
        <f>IF(AND(ISNUMBER(G203),ISNUMBER(H203)),H203-G203,"")</f>
        <v/>
      </c>
      <c r="J203" s="28" t="n"/>
      <c r="K203" s="29">
        <f>IF(AND(I203="",J203=""),"",ROUND(N(I203)*IF(C203="Business",N($H$5),IF(C203="Medical",N($H$6),IF(C203="Charity",N($H$7),0))),2)+IF(C203="Personal",0,N(J203)))</f>
        <v/>
      </c>
    </row>
    <row r="204" ht="19" customHeight="1">
      <c r="B204" s="23" t="n"/>
      <c r="C204" s="24" t="n"/>
      <c r="D204" s="25" t="n"/>
      <c r="E204" s="25" t="n"/>
      <c r="F204" s="25" t="n"/>
      <c r="G204" s="26" t="n"/>
      <c r="H204" s="26" t="n"/>
      <c r="I204" s="27">
        <f>IF(AND(ISNUMBER(G204),ISNUMBER(H204)),H204-G204,"")</f>
        <v/>
      </c>
      <c r="J204" s="28" t="n"/>
      <c r="K204" s="29">
        <f>IF(AND(I204="",J204=""),"",ROUND(N(I204)*IF(C204="Business",N($H$5),IF(C204="Medical",N($H$6),IF(C204="Charity",N($H$7),0))),2)+IF(C204="Personal",0,N(J204)))</f>
        <v/>
      </c>
    </row>
    <row r="205" ht="19" customHeight="1">
      <c r="B205" s="23" t="n"/>
      <c r="C205" s="24" t="n"/>
      <c r="D205" s="25" t="n"/>
      <c r="E205" s="25" t="n"/>
      <c r="F205" s="25" t="n"/>
      <c r="G205" s="26" t="n"/>
      <c r="H205" s="26" t="n"/>
      <c r="I205" s="27">
        <f>IF(AND(ISNUMBER(G205),ISNUMBER(H205)),H205-G205,"")</f>
        <v/>
      </c>
      <c r="J205" s="28" t="n"/>
      <c r="K205" s="29">
        <f>IF(AND(I205="",J205=""),"",ROUND(N(I205)*IF(C205="Business",N($H$5),IF(C205="Medical",N($H$6),IF(C205="Charity",N($H$7),0))),2)+IF(C205="Personal",0,N(J205)))</f>
        <v/>
      </c>
    </row>
    <row r="206" ht="19" customHeight="1">
      <c r="B206" s="23" t="n"/>
      <c r="C206" s="24" t="n"/>
      <c r="D206" s="25" t="n"/>
      <c r="E206" s="25" t="n"/>
      <c r="F206" s="25" t="n"/>
      <c r="G206" s="26" t="n"/>
      <c r="H206" s="26" t="n"/>
      <c r="I206" s="27">
        <f>IF(AND(ISNUMBER(G206),ISNUMBER(H206)),H206-G206,"")</f>
        <v/>
      </c>
      <c r="J206" s="28" t="n"/>
      <c r="K206" s="29">
        <f>IF(AND(I206="",J206=""),"",ROUND(N(I206)*IF(C206="Business",N($H$5),IF(C206="Medical",N($H$6),IF(C206="Charity",N($H$7),0))),2)+IF(C206="Personal",0,N(J206)))</f>
        <v/>
      </c>
    </row>
    <row r="207" ht="19" customHeight="1">
      <c r="B207" s="23" t="n"/>
      <c r="C207" s="24" t="n"/>
      <c r="D207" s="25" t="n"/>
      <c r="E207" s="25" t="n"/>
      <c r="F207" s="25" t="n"/>
      <c r="G207" s="26" t="n"/>
      <c r="H207" s="26" t="n"/>
      <c r="I207" s="27">
        <f>IF(AND(ISNUMBER(G207),ISNUMBER(H207)),H207-G207,"")</f>
        <v/>
      </c>
      <c r="J207" s="28" t="n"/>
      <c r="K207" s="29">
        <f>IF(AND(I207="",J207=""),"",ROUND(N(I207)*IF(C207="Business",N($H$5),IF(C207="Medical",N($H$6),IF(C207="Charity",N($H$7),0))),2)+IF(C207="Personal",0,N(J207)))</f>
        <v/>
      </c>
    </row>
    <row r="208" ht="19" customHeight="1">
      <c r="B208" s="23" t="n"/>
      <c r="C208" s="24" t="n"/>
      <c r="D208" s="25" t="n"/>
      <c r="E208" s="25" t="n"/>
      <c r="F208" s="25" t="n"/>
      <c r="G208" s="26" t="n"/>
      <c r="H208" s="26" t="n"/>
      <c r="I208" s="27">
        <f>IF(AND(ISNUMBER(G208),ISNUMBER(H208)),H208-G208,"")</f>
        <v/>
      </c>
      <c r="J208" s="28" t="n"/>
      <c r="K208" s="29">
        <f>IF(AND(I208="",J208=""),"",ROUND(N(I208)*IF(C208="Business",N($H$5),IF(C208="Medical",N($H$6),IF(C208="Charity",N($H$7),0))),2)+IF(C208="Personal",0,N(J208)))</f>
        <v/>
      </c>
    </row>
    <row r="209" ht="19" customHeight="1">
      <c r="B209" s="23" t="n"/>
      <c r="C209" s="24" t="n"/>
      <c r="D209" s="25" t="n"/>
      <c r="E209" s="25" t="n"/>
      <c r="F209" s="25" t="n"/>
      <c r="G209" s="26" t="n"/>
      <c r="H209" s="26" t="n"/>
      <c r="I209" s="27">
        <f>IF(AND(ISNUMBER(G209),ISNUMBER(H209)),H209-G209,"")</f>
        <v/>
      </c>
      <c r="J209" s="28" t="n"/>
      <c r="K209" s="29">
        <f>IF(AND(I209="",J209=""),"",ROUND(N(I209)*IF(C209="Business",N($H$5),IF(C209="Medical",N($H$6),IF(C209="Charity",N($H$7),0))),2)+IF(C209="Personal",0,N(J209)))</f>
        <v/>
      </c>
    </row>
    <row r="210" ht="19" customHeight="1">
      <c r="B210" s="23" t="n"/>
      <c r="C210" s="24" t="n"/>
      <c r="D210" s="25" t="n"/>
      <c r="E210" s="25" t="n"/>
      <c r="F210" s="25" t="n"/>
      <c r="G210" s="26" t="n"/>
      <c r="H210" s="26" t="n"/>
      <c r="I210" s="27">
        <f>IF(AND(ISNUMBER(G210),ISNUMBER(H210)),H210-G210,"")</f>
        <v/>
      </c>
      <c r="J210" s="28" t="n"/>
      <c r="K210" s="29">
        <f>IF(AND(I210="",J210=""),"",ROUND(N(I210)*IF(C210="Business",N($H$5),IF(C210="Medical",N($H$6),IF(C210="Charity",N($H$7),0))),2)+IF(C210="Personal",0,N(J210)))</f>
        <v/>
      </c>
    </row>
    <row r="211" ht="19" customHeight="1">
      <c r="B211" s="23" t="n"/>
      <c r="C211" s="24" t="n"/>
      <c r="D211" s="25" t="n"/>
      <c r="E211" s="25" t="n"/>
      <c r="F211" s="25" t="n"/>
      <c r="G211" s="26" t="n"/>
      <c r="H211" s="26" t="n"/>
      <c r="I211" s="27">
        <f>IF(AND(ISNUMBER(G211),ISNUMBER(H211)),H211-G211,"")</f>
        <v/>
      </c>
      <c r="J211" s="28" t="n"/>
      <c r="K211" s="29">
        <f>IF(AND(I211="",J211=""),"",ROUND(N(I211)*IF(C211="Business",N($H$5),IF(C211="Medical",N($H$6),IF(C211="Charity",N($H$7),0))),2)+IF(C211="Personal",0,N(J211)))</f>
        <v/>
      </c>
    </row>
    <row r="212" ht="19" customHeight="1">
      <c r="B212" s="23" t="n"/>
      <c r="C212" s="24" t="n"/>
      <c r="D212" s="25" t="n"/>
      <c r="E212" s="25" t="n"/>
      <c r="F212" s="25" t="n"/>
      <c r="G212" s="26" t="n"/>
      <c r="H212" s="26" t="n"/>
      <c r="I212" s="27">
        <f>IF(AND(ISNUMBER(G212),ISNUMBER(H212)),H212-G212,"")</f>
        <v/>
      </c>
      <c r="J212" s="28" t="n"/>
      <c r="K212" s="29">
        <f>IF(AND(I212="",J212=""),"",ROUND(N(I212)*IF(C212="Business",N($H$5),IF(C212="Medical",N($H$6),IF(C212="Charity",N($H$7),0))),2)+IF(C212="Personal",0,N(J212)))</f>
        <v/>
      </c>
    </row>
    <row r="213" ht="19" customHeight="1">
      <c r="B213" s="23" t="n"/>
      <c r="C213" s="24" t="n"/>
      <c r="D213" s="25" t="n"/>
      <c r="E213" s="25" t="n"/>
      <c r="F213" s="25" t="n"/>
      <c r="G213" s="26" t="n"/>
      <c r="H213" s="26" t="n"/>
      <c r="I213" s="27">
        <f>IF(AND(ISNUMBER(G213),ISNUMBER(H213)),H213-G213,"")</f>
        <v/>
      </c>
      <c r="J213" s="28" t="n"/>
      <c r="K213" s="29">
        <f>IF(AND(I213="",J213=""),"",ROUND(N(I213)*IF(C213="Business",N($H$5),IF(C213="Medical",N($H$6),IF(C213="Charity",N($H$7),0))),2)+IF(C213="Personal",0,N(J213)))</f>
        <v/>
      </c>
    </row>
    <row r="214" ht="19" customHeight="1">
      <c r="B214" s="23" t="n"/>
      <c r="C214" s="24" t="n"/>
      <c r="D214" s="25" t="n"/>
      <c r="E214" s="25" t="n"/>
      <c r="F214" s="25" t="n"/>
      <c r="G214" s="26" t="n"/>
      <c r="H214" s="26" t="n"/>
      <c r="I214" s="27">
        <f>IF(AND(ISNUMBER(G214),ISNUMBER(H214)),H214-G214,"")</f>
        <v/>
      </c>
      <c r="J214" s="28" t="n"/>
      <c r="K214" s="29">
        <f>IF(AND(I214="",J214=""),"",ROUND(N(I214)*IF(C214="Business",N($H$5),IF(C214="Medical",N($H$6),IF(C214="Charity",N($H$7),0))),2)+IF(C214="Personal",0,N(J214)))</f>
        <v/>
      </c>
    </row>
    <row r="215" ht="19" customHeight="1">
      <c r="B215" s="23" t="n"/>
      <c r="C215" s="24" t="n"/>
      <c r="D215" s="25" t="n"/>
      <c r="E215" s="25" t="n"/>
      <c r="F215" s="25" t="n"/>
      <c r="G215" s="26" t="n"/>
      <c r="H215" s="26" t="n"/>
      <c r="I215" s="27">
        <f>IF(AND(ISNUMBER(G215),ISNUMBER(H215)),H215-G215,"")</f>
        <v/>
      </c>
      <c r="J215" s="28" t="n"/>
      <c r="K215" s="29">
        <f>IF(AND(I215="",J215=""),"",ROUND(N(I215)*IF(C215="Business",N($H$5),IF(C215="Medical",N($H$6),IF(C215="Charity",N($H$7),0))),2)+IF(C215="Personal",0,N(J215)))</f>
        <v/>
      </c>
    </row>
    <row r="216" ht="19" customHeight="1">
      <c r="B216" s="23" t="n"/>
      <c r="C216" s="24" t="n"/>
      <c r="D216" s="25" t="n"/>
      <c r="E216" s="25" t="n"/>
      <c r="F216" s="25" t="n"/>
      <c r="G216" s="26" t="n"/>
      <c r="H216" s="26" t="n"/>
      <c r="I216" s="27">
        <f>IF(AND(ISNUMBER(G216),ISNUMBER(H216)),H216-G216,"")</f>
        <v/>
      </c>
      <c r="J216" s="28" t="n"/>
      <c r="K216" s="29">
        <f>IF(AND(I216="",J216=""),"",ROUND(N(I216)*IF(C216="Business",N($H$5),IF(C216="Medical",N($H$6),IF(C216="Charity",N($H$7),0))),2)+IF(C216="Personal",0,N(J216)))</f>
        <v/>
      </c>
    </row>
    <row r="217" ht="19" customHeight="1">
      <c r="B217" s="23" t="n"/>
      <c r="C217" s="24" t="n"/>
      <c r="D217" s="25" t="n"/>
      <c r="E217" s="25" t="n"/>
      <c r="F217" s="25" t="n"/>
      <c r="G217" s="26" t="n"/>
      <c r="H217" s="26" t="n"/>
      <c r="I217" s="27">
        <f>IF(AND(ISNUMBER(G217),ISNUMBER(H217)),H217-G217,"")</f>
        <v/>
      </c>
      <c r="J217" s="28" t="n"/>
      <c r="K217" s="29">
        <f>IF(AND(I217="",J217=""),"",ROUND(N(I217)*IF(C217="Business",N($H$5),IF(C217="Medical",N($H$6),IF(C217="Charity",N($H$7),0))),2)+IF(C217="Personal",0,N(J217)))</f>
        <v/>
      </c>
    </row>
    <row r="218" ht="19" customHeight="1">
      <c r="B218" s="23" t="n"/>
      <c r="C218" s="24" t="n"/>
      <c r="D218" s="25" t="n"/>
      <c r="E218" s="25" t="n"/>
      <c r="F218" s="25" t="n"/>
      <c r="G218" s="26" t="n"/>
      <c r="H218" s="26" t="n"/>
      <c r="I218" s="27">
        <f>IF(AND(ISNUMBER(G218),ISNUMBER(H218)),H218-G218,"")</f>
        <v/>
      </c>
      <c r="J218" s="28" t="n"/>
      <c r="K218" s="29">
        <f>IF(AND(I218="",J218=""),"",ROUND(N(I218)*IF(C218="Business",N($H$5),IF(C218="Medical",N($H$6),IF(C218="Charity",N($H$7),0))),2)+IF(C218="Personal",0,N(J218)))</f>
        <v/>
      </c>
    </row>
    <row r="219" ht="19" customHeight="1">
      <c r="B219" s="23" t="n"/>
      <c r="C219" s="24" t="n"/>
      <c r="D219" s="25" t="n"/>
      <c r="E219" s="25" t="n"/>
      <c r="F219" s="25" t="n"/>
      <c r="G219" s="26" t="n"/>
      <c r="H219" s="26" t="n"/>
      <c r="I219" s="27">
        <f>IF(AND(ISNUMBER(G219),ISNUMBER(H219)),H219-G219,"")</f>
        <v/>
      </c>
      <c r="J219" s="28" t="n"/>
      <c r="K219" s="29">
        <f>IF(AND(I219="",J219=""),"",ROUND(N(I219)*IF(C219="Business",N($H$5),IF(C219="Medical",N($H$6),IF(C219="Charity",N($H$7),0))),2)+IF(C219="Personal",0,N(J219)))</f>
        <v/>
      </c>
    </row>
    <row r="220" ht="19" customHeight="1">
      <c r="B220" s="23" t="n"/>
      <c r="C220" s="24" t="n"/>
      <c r="D220" s="25" t="n"/>
      <c r="E220" s="25" t="n"/>
      <c r="F220" s="25" t="n"/>
      <c r="G220" s="26" t="n"/>
      <c r="H220" s="26" t="n"/>
      <c r="I220" s="27">
        <f>IF(AND(ISNUMBER(G220),ISNUMBER(H220)),H220-G220,"")</f>
        <v/>
      </c>
      <c r="J220" s="28" t="n"/>
      <c r="K220" s="29">
        <f>IF(AND(I220="",J220=""),"",ROUND(N(I220)*IF(C220="Business",N($H$5),IF(C220="Medical",N($H$6),IF(C220="Charity",N($H$7),0))),2)+IF(C220="Personal",0,N(J220)))</f>
        <v/>
      </c>
    </row>
    <row r="221" ht="19" customHeight="1">
      <c r="B221" s="23" t="n"/>
      <c r="C221" s="24" t="n"/>
      <c r="D221" s="25" t="n"/>
      <c r="E221" s="25" t="n"/>
      <c r="F221" s="25" t="n"/>
      <c r="G221" s="26" t="n"/>
      <c r="H221" s="26" t="n"/>
      <c r="I221" s="27">
        <f>IF(AND(ISNUMBER(G221),ISNUMBER(H221)),H221-G221,"")</f>
        <v/>
      </c>
      <c r="J221" s="28" t="n"/>
      <c r="K221" s="29">
        <f>IF(AND(I221="",J221=""),"",ROUND(N(I221)*IF(C221="Business",N($H$5),IF(C221="Medical",N($H$6),IF(C221="Charity",N($H$7),0))),2)+IF(C221="Personal",0,N(J221)))</f>
        <v/>
      </c>
    </row>
    <row r="222" ht="19" customHeight="1">
      <c r="B222" s="23" t="n"/>
      <c r="C222" s="24" t="n"/>
      <c r="D222" s="25" t="n"/>
      <c r="E222" s="25" t="n"/>
      <c r="F222" s="25" t="n"/>
      <c r="G222" s="26" t="n"/>
      <c r="H222" s="26" t="n"/>
      <c r="I222" s="27">
        <f>IF(AND(ISNUMBER(G222),ISNUMBER(H222)),H222-G222,"")</f>
        <v/>
      </c>
      <c r="J222" s="28" t="n"/>
      <c r="K222" s="29">
        <f>IF(AND(I222="",J222=""),"",ROUND(N(I222)*IF(C222="Business",N($H$5),IF(C222="Medical",N($H$6),IF(C222="Charity",N($H$7),0))),2)+IF(C222="Personal",0,N(J222)))</f>
        <v/>
      </c>
    </row>
    <row r="223" ht="19" customHeight="1">
      <c r="B223" s="23" t="n"/>
      <c r="C223" s="24" t="n"/>
      <c r="D223" s="25" t="n"/>
      <c r="E223" s="25" t="n"/>
      <c r="F223" s="25" t="n"/>
      <c r="G223" s="26" t="n"/>
      <c r="H223" s="26" t="n"/>
      <c r="I223" s="27">
        <f>IF(AND(ISNUMBER(G223),ISNUMBER(H223)),H223-G223,"")</f>
        <v/>
      </c>
      <c r="J223" s="28" t="n"/>
      <c r="K223" s="29">
        <f>IF(AND(I223="",J223=""),"",ROUND(N(I223)*IF(C223="Business",N($H$5),IF(C223="Medical",N($H$6),IF(C223="Charity",N($H$7),0))),2)+IF(C223="Personal",0,N(J223)))</f>
        <v/>
      </c>
    </row>
    <row r="224" ht="19" customHeight="1">
      <c r="B224" s="23" t="n"/>
      <c r="C224" s="24" t="n"/>
      <c r="D224" s="25" t="n"/>
      <c r="E224" s="25" t="n"/>
      <c r="F224" s="25" t="n"/>
      <c r="G224" s="26" t="n"/>
      <c r="H224" s="26" t="n"/>
      <c r="I224" s="27">
        <f>IF(AND(ISNUMBER(G224),ISNUMBER(H224)),H224-G224,"")</f>
        <v/>
      </c>
      <c r="J224" s="28" t="n"/>
      <c r="K224" s="29">
        <f>IF(AND(I224="",J224=""),"",ROUND(N(I224)*IF(C224="Business",N($H$5),IF(C224="Medical",N($H$6),IF(C224="Charity",N($H$7),0))),2)+IF(C224="Personal",0,N(J224)))</f>
        <v/>
      </c>
    </row>
    <row r="225" ht="19" customHeight="1">
      <c r="B225" s="23" t="n"/>
      <c r="C225" s="24" t="n"/>
      <c r="D225" s="25" t="n"/>
      <c r="E225" s="25" t="n"/>
      <c r="F225" s="25" t="n"/>
      <c r="G225" s="26" t="n"/>
      <c r="H225" s="26" t="n"/>
      <c r="I225" s="27">
        <f>IF(AND(ISNUMBER(G225),ISNUMBER(H225)),H225-G225,"")</f>
        <v/>
      </c>
      <c r="J225" s="28" t="n"/>
      <c r="K225" s="29">
        <f>IF(AND(I225="",J225=""),"",ROUND(N(I225)*IF(C225="Business",N($H$5),IF(C225="Medical",N($H$6),IF(C225="Charity",N($H$7),0))),2)+IF(C225="Personal",0,N(J225)))</f>
        <v/>
      </c>
    </row>
    <row r="226" ht="19" customHeight="1">
      <c r="B226" s="23" t="n"/>
      <c r="C226" s="24" t="n"/>
      <c r="D226" s="25" t="n"/>
      <c r="E226" s="25" t="n"/>
      <c r="F226" s="25" t="n"/>
      <c r="G226" s="26" t="n"/>
      <c r="H226" s="26" t="n"/>
      <c r="I226" s="27">
        <f>IF(AND(ISNUMBER(G226),ISNUMBER(H226)),H226-G226,"")</f>
        <v/>
      </c>
      <c r="J226" s="28" t="n"/>
      <c r="K226" s="29">
        <f>IF(AND(I226="",J226=""),"",ROUND(N(I226)*IF(C226="Business",N($H$5),IF(C226="Medical",N($H$6),IF(C226="Charity",N($H$7),0))),2)+IF(C226="Personal",0,N(J226)))</f>
        <v/>
      </c>
    </row>
    <row r="227" ht="19" customHeight="1">
      <c r="B227" s="23" t="n"/>
      <c r="C227" s="24" t="n"/>
      <c r="D227" s="25" t="n"/>
      <c r="E227" s="25" t="n"/>
      <c r="F227" s="25" t="n"/>
      <c r="G227" s="26" t="n"/>
      <c r="H227" s="26" t="n"/>
      <c r="I227" s="27">
        <f>IF(AND(ISNUMBER(G227),ISNUMBER(H227)),H227-G227,"")</f>
        <v/>
      </c>
      <c r="J227" s="28" t="n"/>
      <c r="K227" s="29">
        <f>IF(AND(I227="",J227=""),"",ROUND(N(I227)*IF(C227="Business",N($H$5),IF(C227="Medical",N($H$6),IF(C227="Charity",N($H$7),0))),2)+IF(C227="Personal",0,N(J227)))</f>
        <v/>
      </c>
    </row>
    <row r="228" ht="19" customHeight="1">
      <c r="B228" s="23" t="n"/>
      <c r="C228" s="24" t="n"/>
      <c r="D228" s="25" t="n"/>
      <c r="E228" s="25" t="n"/>
      <c r="F228" s="25" t="n"/>
      <c r="G228" s="26" t="n"/>
      <c r="H228" s="26" t="n"/>
      <c r="I228" s="27">
        <f>IF(AND(ISNUMBER(G228),ISNUMBER(H228)),H228-G228,"")</f>
        <v/>
      </c>
      <c r="J228" s="28" t="n"/>
      <c r="K228" s="29">
        <f>IF(AND(I228="",J228=""),"",ROUND(N(I228)*IF(C228="Business",N($H$5),IF(C228="Medical",N($H$6),IF(C228="Charity",N($H$7),0))),2)+IF(C228="Personal",0,N(J228)))</f>
        <v/>
      </c>
    </row>
    <row r="229" ht="19" customHeight="1">
      <c r="B229" s="23" t="n"/>
      <c r="C229" s="24" t="n"/>
      <c r="D229" s="25" t="n"/>
      <c r="E229" s="25" t="n"/>
      <c r="F229" s="25" t="n"/>
      <c r="G229" s="26" t="n"/>
      <c r="H229" s="26" t="n"/>
      <c r="I229" s="27">
        <f>IF(AND(ISNUMBER(G229),ISNUMBER(H229)),H229-G229,"")</f>
        <v/>
      </c>
      <c r="J229" s="28" t="n"/>
      <c r="K229" s="29">
        <f>IF(AND(I229="",J229=""),"",ROUND(N(I229)*IF(C229="Business",N($H$5),IF(C229="Medical",N($H$6),IF(C229="Charity",N($H$7),0))),2)+IF(C229="Personal",0,N(J229)))</f>
        <v/>
      </c>
    </row>
    <row r="230" ht="19" customHeight="1">
      <c r="B230" s="23" t="n"/>
      <c r="C230" s="24" t="n"/>
      <c r="D230" s="25" t="n"/>
      <c r="E230" s="25" t="n"/>
      <c r="F230" s="25" t="n"/>
      <c r="G230" s="26" t="n"/>
      <c r="H230" s="26" t="n"/>
      <c r="I230" s="27">
        <f>IF(AND(ISNUMBER(G230),ISNUMBER(H230)),H230-G230,"")</f>
        <v/>
      </c>
      <c r="J230" s="28" t="n"/>
      <c r="K230" s="29">
        <f>IF(AND(I230="",J230=""),"",ROUND(N(I230)*IF(C230="Business",N($H$5),IF(C230="Medical",N($H$6),IF(C230="Charity",N($H$7),0))),2)+IF(C230="Personal",0,N(J230)))</f>
        <v/>
      </c>
    </row>
    <row r="231" ht="19" customHeight="1">
      <c r="B231" s="23" t="n"/>
      <c r="C231" s="24" t="n"/>
      <c r="D231" s="25" t="n"/>
      <c r="E231" s="25" t="n"/>
      <c r="F231" s="25" t="n"/>
      <c r="G231" s="26" t="n"/>
      <c r="H231" s="26" t="n"/>
      <c r="I231" s="27">
        <f>IF(AND(ISNUMBER(G231),ISNUMBER(H231)),H231-G231,"")</f>
        <v/>
      </c>
      <c r="J231" s="28" t="n"/>
      <c r="K231" s="29">
        <f>IF(AND(I231="",J231=""),"",ROUND(N(I231)*IF(C231="Business",N($H$5),IF(C231="Medical",N($H$6),IF(C231="Charity",N($H$7),0))),2)+IF(C231="Personal",0,N(J231)))</f>
        <v/>
      </c>
    </row>
    <row r="232" ht="19" customHeight="1">
      <c r="B232" s="23" t="n"/>
      <c r="C232" s="24" t="n"/>
      <c r="D232" s="25" t="n"/>
      <c r="E232" s="25" t="n"/>
      <c r="F232" s="25" t="n"/>
      <c r="G232" s="26" t="n"/>
      <c r="H232" s="26" t="n"/>
      <c r="I232" s="27">
        <f>IF(AND(ISNUMBER(G232),ISNUMBER(H232)),H232-G232,"")</f>
        <v/>
      </c>
      <c r="J232" s="28" t="n"/>
      <c r="K232" s="29">
        <f>IF(AND(I232="",J232=""),"",ROUND(N(I232)*IF(C232="Business",N($H$5),IF(C232="Medical",N($H$6),IF(C232="Charity",N($H$7),0))),2)+IF(C232="Personal",0,N(J232)))</f>
        <v/>
      </c>
    </row>
    <row r="233" ht="19" customHeight="1">
      <c r="B233" s="23" t="n"/>
      <c r="C233" s="24" t="n"/>
      <c r="D233" s="25" t="n"/>
      <c r="E233" s="25" t="n"/>
      <c r="F233" s="25" t="n"/>
      <c r="G233" s="26" t="n"/>
      <c r="H233" s="26" t="n"/>
      <c r="I233" s="27">
        <f>IF(AND(ISNUMBER(G233),ISNUMBER(H233)),H233-G233,"")</f>
        <v/>
      </c>
      <c r="J233" s="28" t="n"/>
      <c r="K233" s="29">
        <f>IF(AND(I233="",J233=""),"",ROUND(N(I233)*IF(C233="Business",N($H$5),IF(C233="Medical",N($H$6),IF(C233="Charity",N($H$7),0))),2)+IF(C233="Personal",0,N(J233)))</f>
        <v/>
      </c>
    </row>
    <row r="234" ht="19" customHeight="1">
      <c r="B234" s="23" t="n"/>
      <c r="C234" s="24" t="n"/>
      <c r="D234" s="25" t="n"/>
      <c r="E234" s="25" t="n"/>
      <c r="F234" s="25" t="n"/>
      <c r="G234" s="26" t="n"/>
      <c r="H234" s="26" t="n"/>
      <c r="I234" s="27">
        <f>IF(AND(ISNUMBER(G234),ISNUMBER(H234)),H234-G234,"")</f>
        <v/>
      </c>
      <c r="J234" s="28" t="n"/>
      <c r="K234" s="29">
        <f>IF(AND(I234="",J234=""),"",ROUND(N(I234)*IF(C234="Business",N($H$5),IF(C234="Medical",N($H$6),IF(C234="Charity",N($H$7),0))),2)+IF(C234="Personal",0,N(J234)))</f>
        <v/>
      </c>
    </row>
    <row r="235" ht="19" customHeight="1">
      <c r="B235" s="23" t="n"/>
      <c r="C235" s="24" t="n"/>
      <c r="D235" s="25" t="n"/>
      <c r="E235" s="25" t="n"/>
      <c r="F235" s="25" t="n"/>
      <c r="G235" s="26" t="n"/>
      <c r="H235" s="26" t="n"/>
      <c r="I235" s="27">
        <f>IF(AND(ISNUMBER(G235),ISNUMBER(H235)),H235-G235,"")</f>
        <v/>
      </c>
      <c r="J235" s="28" t="n"/>
      <c r="K235" s="29">
        <f>IF(AND(I235="",J235=""),"",ROUND(N(I235)*IF(C235="Business",N($H$5),IF(C235="Medical",N($H$6),IF(C235="Charity",N($H$7),0))),2)+IF(C235="Personal",0,N(J235)))</f>
        <v/>
      </c>
    </row>
    <row r="236" ht="19" customHeight="1">
      <c r="B236" s="23" t="n"/>
      <c r="C236" s="24" t="n"/>
      <c r="D236" s="25" t="n"/>
      <c r="E236" s="25" t="n"/>
      <c r="F236" s="25" t="n"/>
      <c r="G236" s="26" t="n"/>
      <c r="H236" s="26" t="n"/>
      <c r="I236" s="27">
        <f>IF(AND(ISNUMBER(G236),ISNUMBER(H236)),H236-G236,"")</f>
        <v/>
      </c>
      <c r="J236" s="28" t="n"/>
      <c r="K236" s="29">
        <f>IF(AND(I236="",J236=""),"",ROUND(N(I236)*IF(C236="Business",N($H$5),IF(C236="Medical",N($H$6),IF(C236="Charity",N($H$7),0))),2)+IF(C236="Personal",0,N(J236)))</f>
        <v/>
      </c>
    </row>
    <row r="237" ht="19" customHeight="1">
      <c r="B237" s="23" t="n"/>
      <c r="C237" s="24" t="n"/>
      <c r="D237" s="25" t="n"/>
      <c r="E237" s="25" t="n"/>
      <c r="F237" s="25" t="n"/>
      <c r="G237" s="26" t="n"/>
      <c r="H237" s="26" t="n"/>
      <c r="I237" s="27">
        <f>IF(AND(ISNUMBER(G237),ISNUMBER(H237)),H237-G237,"")</f>
        <v/>
      </c>
      <c r="J237" s="28" t="n"/>
      <c r="K237" s="29">
        <f>IF(AND(I237="",J237=""),"",ROUND(N(I237)*IF(C237="Business",N($H$5),IF(C237="Medical",N($H$6),IF(C237="Charity",N($H$7),0))),2)+IF(C237="Personal",0,N(J237)))</f>
        <v/>
      </c>
    </row>
    <row r="238" ht="19" customHeight="1">
      <c r="B238" s="23" t="n"/>
      <c r="C238" s="24" t="n"/>
      <c r="D238" s="25" t="n"/>
      <c r="E238" s="25" t="n"/>
      <c r="F238" s="25" t="n"/>
      <c r="G238" s="26" t="n"/>
      <c r="H238" s="26" t="n"/>
      <c r="I238" s="27">
        <f>IF(AND(ISNUMBER(G238),ISNUMBER(H238)),H238-G238,"")</f>
        <v/>
      </c>
      <c r="J238" s="28" t="n"/>
      <c r="K238" s="29">
        <f>IF(AND(I238="",J238=""),"",ROUND(N(I238)*IF(C238="Business",N($H$5),IF(C238="Medical",N($H$6),IF(C238="Charity",N($H$7),0))),2)+IF(C238="Personal",0,N(J238)))</f>
        <v/>
      </c>
    </row>
    <row r="239" ht="19" customHeight="1">
      <c r="B239" s="23" t="n"/>
      <c r="C239" s="24" t="n"/>
      <c r="D239" s="25" t="n"/>
      <c r="E239" s="25" t="n"/>
      <c r="F239" s="25" t="n"/>
      <c r="G239" s="26" t="n"/>
      <c r="H239" s="26" t="n"/>
      <c r="I239" s="27">
        <f>IF(AND(ISNUMBER(G239),ISNUMBER(H239)),H239-G239,"")</f>
        <v/>
      </c>
      <c r="J239" s="28" t="n"/>
      <c r="K239" s="29">
        <f>IF(AND(I239="",J239=""),"",ROUND(N(I239)*IF(C239="Business",N($H$5),IF(C239="Medical",N($H$6),IF(C239="Charity",N($H$7),0))),2)+IF(C239="Personal",0,N(J239)))</f>
        <v/>
      </c>
    </row>
    <row r="240" ht="19" customHeight="1">
      <c r="B240" s="23" t="n"/>
      <c r="C240" s="24" t="n"/>
      <c r="D240" s="25" t="n"/>
      <c r="E240" s="25" t="n"/>
      <c r="F240" s="25" t="n"/>
      <c r="G240" s="26" t="n"/>
      <c r="H240" s="26" t="n"/>
      <c r="I240" s="27">
        <f>IF(AND(ISNUMBER(G240),ISNUMBER(H240)),H240-G240,"")</f>
        <v/>
      </c>
      <c r="J240" s="28" t="n"/>
      <c r="K240" s="29">
        <f>IF(AND(I240="",J240=""),"",ROUND(N(I240)*IF(C240="Business",N($H$5),IF(C240="Medical",N($H$6),IF(C240="Charity",N($H$7),0))),2)+IF(C240="Personal",0,N(J240)))</f>
        <v/>
      </c>
    </row>
    <row r="241" ht="19" customHeight="1">
      <c r="B241" s="23" t="n"/>
      <c r="C241" s="24" t="n"/>
      <c r="D241" s="25" t="n"/>
      <c r="E241" s="25" t="n"/>
      <c r="F241" s="25" t="n"/>
      <c r="G241" s="26" t="n"/>
      <c r="H241" s="26" t="n"/>
      <c r="I241" s="27">
        <f>IF(AND(ISNUMBER(G241),ISNUMBER(H241)),H241-G241,"")</f>
        <v/>
      </c>
      <c r="J241" s="28" t="n"/>
      <c r="K241" s="29">
        <f>IF(AND(I241="",J241=""),"",ROUND(N(I241)*IF(C241="Business",N($H$5),IF(C241="Medical",N($H$6),IF(C241="Charity",N($H$7),0))),2)+IF(C241="Personal",0,N(J241)))</f>
        <v/>
      </c>
    </row>
    <row r="242" ht="19" customHeight="1">
      <c r="B242" s="23" t="n"/>
      <c r="C242" s="24" t="n"/>
      <c r="D242" s="25" t="n"/>
      <c r="E242" s="25" t="n"/>
      <c r="F242" s="25" t="n"/>
      <c r="G242" s="26" t="n"/>
      <c r="H242" s="26" t="n"/>
      <c r="I242" s="27">
        <f>IF(AND(ISNUMBER(G242),ISNUMBER(H242)),H242-G242,"")</f>
        <v/>
      </c>
      <c r="J242" s="28" t="n"/>
      <c r="K242" s="29">
        <f>IF(AND(I242="",J242=""),"",ROUND(N(I242)*IF(C242="Business",N($H$5),IF(C242="Medical",N($H$6),IF(C242="Charity",N($H$7),0))),2)+IF(C242="Personal",0,N(J242)))</f>
        <v/>
      </c>
    </row>
    <row r="243" ht="19" customHeight="1">
      <c r="B243" s="23" t="n"/>
      <c r="C243" s="24" t="n"/>
      <c r="D243" s="25" t="n"/>
      <c r="E243" s="25" t="n"/>
      <c r="F243" s="25" t="n"/>
      <c r="G243" s="26" t="n"/>
      <c r="H243" s="26" t="n"/>
      <c r="I243" s="27">
        <f>IF(AND(ISNUMBER(G243),ISNUMBER(H243)),H243-G243,"")</f>
        <v/>
      </c>
      <c r="J243" s="28" t="n"/>
      <c r="K243" s="29">
        <f>IF(AND(I243="",J243=""),"",ROUND(N(I243)*IF(C243="Business",N($H$5),IF(C243="Medical",N($H$6),IF(C243="Charity",N($H$7),0))),2)+IF(C243="Personal",0,N(J243)))</f>
        <v/>
      </c>
    </row>
    <row r="244" ht="19" customHeight="1">
      <c r="B244" s="23" t="n"/>
      <c r="C244" s="24" t="n"/>
      <c r="D244" s="25" t="n"/>
      <c r="E244" s="25" t="n"/>
      <c r="F244" s="25" t="n"/>
      <c r="G244" s="26" t="n"/>
      <c r="H244" s="26" t="n"/>
      <c r="I244" s="27">
        <f>IF(AND(ISNUMBER(G244),ISNUMBER(H244)),H244-G244,"")</f>
        <v/>
      </c>
      <c r="J244" s="28" t="n"/>
      <c r="K244" s="29">
        <f>IF(AND(I244="",J244=""),"",ROUND(N(I244)*IF(C244="Business",N($H$5),IF(C244="Medical",N($H$6),IF(C244="Charity",N($H$7),0))),2)+IF(C244="Personal",0,N(J244)))</f>
        <v/>
      </c>
    </row>
    <row r="245" ht="19" customHeight="1">
      <c r="B245" s="23" t="n"/>
      <c r="C245" s="24" t="n"/>
      <c r="D245" s="25" t="n"/>
      <c r="E245" s="25" t="n"/>
      <c r="F245" s="25" t="n"/>
      <c r="G245" s="26" t="n"/>
      <c r="H245" s="26" t="n"/>
      <c r="I245" s="27">
        <f>IF(AND(ISNUMBER(G245),ISNUMBER(H245)),H245-G245,"")</f>
        <v/>
      </c>
      <c r="J245" s="28" t="n"/>
      <c r="K245" s="29">
        <f>IF(AND(I245="",J245=""),"",ROUND(N(I245)*IF(C245="Business",N($H$5),IF(C245="Medical",N($H$6),IF(C245="Charity",N($H$7),0))),2)+IF(C245="Personal",0,N(J245)))</f>
        <v/>
      </c>
    </row>
    <row r="246" ht="19" customHeight="1">
      <c r="B246" s="23" t="n"/>
      <c r="C246" s="24" t="n"/>
      <c r="D246" s="25" t="n"/>
      <c r="E246" s="25" t="n"/>
      <c r="F246" s="25" t="n"/>
      <c r="G246" s="26" t="n"/>
      <c r="H246" s="26" t="n"/>
      <c r="I246" s="27">
        <f>IF(AND(ISNUMBER(G246),ISNUMBER(H246)),H246-G246,"")</f>
        <v/>
      </c>
      <c r="J246" s="28" t="n"/>
      <c r="K246" s="29">
        <f>IF(AND(I246="",J246=""),"",ROUND(N(I246)*IF(C246="Business",N($H$5),IF(C246="Medical",N($H$6),IF(C246="Charity",N($H$7),0))),2)+IF(C246="Personal",0,N(J246)))</f>
        <v/>
      </c>
    </row>
    <row r="247" ht="19" customHeight="1">
      <c r="B247" s="23" t="n"/>
      <c r="C247" s="24" t="n"/>
      <c r="D247" s="25" t="n"/>
      <c r="E247" s="25" t="n"/>
      <c r="F247" s="25" t="n"/>
      <c r="G247" s="26" t="n"/>
      <c r="H247" s="26" t="n"/>
      <c r="I247" s="27">
        <f>IF(AND(ISNUMBER(G247),ISNUMBER(H247)),H247-G247,"")</f>
        <v/>
      </c>
      <c r="J247" s="28" t="n"/>
      <c r="K247" s="29">
        <f>IF(AND(I247="",J247=""),"",ROUND(N(I247)*IF(C247="Business",N($H$5),IF(C247="Medical",N($H$6),IF(C247="Charity",N($H$7),0))),2)+IF(C247="Personal",0,N(J247)))</f>
        <v/>
      </c>
    </row>
    <row r="248" ht="19" customHeight="1">
      <c r="B248" s="23" t="n"/>
      <c r="C248" s="24" t="n"/>
      <c r="D248" s="25" t="n"/>
      <c r="E248" s="25" t="n"/>
      <c r="F248" s="25" t="n"/>
      <c r="G248" s="26" t="n"/>
      <c r="H248" s="26" t="n"/>
      <c r="I248" s="27">
        <f>IF(AND(ISNUMBER(G248),ISNUMBER(H248)),H248-G248,"")</f>
        <v/>
      </c>
      <c r="J248" s="28" t="n"/>
      <c r="K248" s="29">
        <f>IF(AND(I248="",J248=""),"",ROUND(N(I248)*IF(C248="Business",N($H$5),IF(C248="Medical",N($H$6),IF(C248="Charity",N($H$7),0))),2)+IF(C248="Personal",0,N(J248)))</f>
        <v/>
      </c>
    </row>
    <row r="249" ht="19" customHeight="1">
      <c r="B249" s="23" t="n"/>
      <c r="C249" s="24" t="n"/>
      <c r="D249" s="25" t="n"/>
      <c r="E249" s="25" t="n"/>
      <c r="F249" s="25" t="n"/>
      <c r="G249" s="26" t="n"/>
      <c r="H249" s="26" t="n"/>
      <c r="I249" s="27">
        <f>IF(AND(ISNUMBER(G249),ISNUMBER(H249)),H249-G249,"")</f>
        <v/>
      </c>
      <c r="J249" s="28" t="n"/>
      <c r="K249" s="29">
        <f>IF(AND(I249="",J249=""),"",ROUND(N(I249)*IF(C249="Business",N($H$5),IF(C249="Medical",N($H$6),IF(C249="Charity",N($H$7),0))),2)+IF(C249="Personal",0,N(J249)))</f>
        <v/>
      </c>
    </row>
    <row r="250" ht="19" customHeight="1">
      <c r="B250" s="23" t="n"/>
      <c r="C250" s="24" t="n"/>
      <c r="D250" s="25" t="n"/>
      <c r="E250" s="25" t="n"/>
      <c r="F250" s="25" t="n"/>
      <c r="G250" s="26" t="n"/>
      <c r="H250" s="26" t="n"/>
      <c r="I250" s="27">
        <f>IF(AND(ISNUMBER(G250),ISNUMBER(H250)),H250-G250,"")</f>
        <v/>
      </c>
      <c r="J250" s="28" t="n"/>
      <c r="K250" s="29">
        <f>IF(AND(I250="",J250=""),"",ROUND(N(I250)*IF(C250="Business",N($H$5),IF(C250="Medical",N($H$6),IF(C250="Charity",N($H$7),0))),2)+IF(C250="Personal",0,N(J250)))</f>
        <v/>
      </c>
    </row>
    <row r="251" ht="19" customHeight="1">
      <c r="B251" s="23" t="n"/>
      <c r="C251" s="24" t="n"/>
      <c r="D251" s="25" t="n"/>
      <c r="E251" s="25" t="n"/>
      <c r="F251" s="25" t="n"/>
      <c r="G251" s="26" t="n"/>
      <c r="H251" s="26" t="n"/>
      <c r="I251" s="27">
        <f>IF(AND(ISNUMBER(G251),ISNUMBER(H251)),H251-G251,"")</f>
        <v/>
      </c>
      <c r="J251" s="28" t="n"/>
      <c r="K251" s="29">
        <f>IF(AND(I251="",J251=""),"",ROUND(N(I251)*IF(C251="Business",N($H$5),IF(C251="Medical",N($H$6),IF(C251="Charity",N($H$7),0))),2)+IF(C251="Personal",0,N(J251)))</f>
        <v/>
      </c>
    </row>
    <row r="252" ht="19" customHeight="1">
      <c r="B252" s="23" t="n"/>
      <c r="C252" s="24" t="n"/>
      <c r="D252" s="25" t="n"/>
      <c r="E252" s="25" t="n"/>
      <c r="F252" s="25" t="n"/>
      <c r="G252" s="26" t="n"/>
      <c r="H252" s="26" t="n"/>
      <c r="I252" s="27">
        <f>IF(AND(ISNUMBER(G252),ISNUMBER(H252)),H252-G252,"")</f>
        <v/>
      </c>
      <c r="J252" s="28" t="n"/>
      <c r="K252" s="29">
        <f>IF(AND(I252="",J252=""),"",ROUND(N(I252)*IF(C252="Business",N($H$5),IF(C252="Medical",N($H$6),IF(C252="Charity",N($H$7),0))),2)+IF(C252="Personal",0,N(J252)))</f>
        <v/>
      </c>
    </row>
    <row r="253" ht="19" customHeight="1">
      <c r="B253" s="23" t="n"/>
      <c r="C253" s="24" t="n"/>
      <c r="D253" s="25" t="n"/>
      <c r="E253" s="25" t="n"/>
      <c r="F253" s="25" t="n"/>
      <c r="G253" s="26" t="n"/>
      <c r="H253" s="26" t="n"/>
      <c r="I253" s="27">
        <f>IF(AND(ISNUMBER(G253),ISNUMBER(H253)),H253-G253,"")</f>
        <v/>
      </c>
      <c r="J253" s="28" t="n"/>
      <c r="K253" s="29">
        <f>IF(AND(I253="",J253=""),"",ROUND(N(I253)*IF(C253="Business",N($H$5),IF(C253="Medical",N($H$6),IF(C253="Charity",N($H$7),0))),2)+IF(C253="Personal",0,N(J253)))</f>
        <v/>
      </c>
    </row>
    <row r="254" ht="19" customHeight="1">
      <c r="B254" s="23" t="n"/>
      <c r="C254" s="24" t="n"/>
      <c r="D254" s="25" t="n"/>
      <c r="E254" s="25" t="n"/>
      <c r="F254" s="25" t="n"/>
      <c r="G254" s="26" t="n"/>
      <c r="H254" s="26" t="n"/>
      <c r="I254" s="27">
        <f>IF(AND(ISNUMBER(G254),ISNUMBER(H254)),H254-G254,"")</f>
        <v/>
      </c>
      <c r="J254" s="28" t="n"/>
      <c r="K254" s="29">
        <f>IF(AND(I254="",J254=""),"",ROUND(N(I254)*IF(C254="Business",N($H$5),IF(C254="Medical",N($H$6),IF(C254="Charity",N($H$7),0))),2)+IF(C254="Personal",0,N(J254)))</f>
        <v/>
      </c>
    </row>
    <row r="255" ht="19" customHeight="1">
      <c r="B255" s="23" t="n"/>
      <c r="C255" s="24" t="n"/>
      <c r="D255" s="25" t="n"/>
      <c r="E255" s="25" t="n"/>
      <c r="F255" s="25" t="n"/>
      <c r="G255" s="26" t="n"/>
      <c r="H255" s="26" t="n"/>
      <c r="I255" s="27">
        <f>IF(AND(ISNUMBER(G255),ISNUMBER(H255)),H255-G255,"")</f>
        <v/>
      </c>
      <c r="J255" s="28" t="n"/>
      <c r="K255" s="29">
        <f>IF(AND(I255="",J255=""),"",ROUND(N(I255)*IF(C255="Business",N($H$5),IF(C255="Medical",N($H$6),IF(C255="Charity",N($H$7),0))),2)+IF(C255="Personal",0,N(J255)))</f>
        <v/>
      </c>
    </row>
    <row r="256" ht="19" customHeight="1">
      <c r="B256" s="23" t="n"/>
      <c r="C256" s="24" t="n"/>
      <c r="D256" s="25" t="n"/>
      <c r="E256" s="25" t="n"/>
      <c r="F256" s="25" t="n"/>
      <c r="G256" s="26" t="n"/>
      <c r="H256" s="26" t="n"/>
      <c r="I256" s="27">
        <f>IF(AND(ISNUMBER(G256),ISNUMBER(H256)),H256-G256,"")</f>
        <v/>
      </c>
      <c r="J256" s="28" t="n"/>
      <c r="K256" s="29">
        <f>IF(AND(I256="",J256=""),"",ROUND(N(I256)*IF(C256="Business",N($H$5),IF(C256="Medical",N($H$6),IF(C256="Charity",N($H$7),0))),2)+IF(C256="Personal",0,N(J256)))</f>
        <v/>
      </c>
    </row>
    <row r="257" ht="19" customHeight="1">
      <c r="B257" s="23" t="n"/>
      <c r="C257" s="24" t="n"/>
      <c r="D257" s="25" t="n"/>
      <c r="E257" s="25" t="n"/>
      <c r="F257" s="25" t="n"/>
      <c r="G257" s="26" t="n"/>
      <c r="H257" s="26" t="n"/>
      <c r="I257" s="27">
        <f>IF(AND(ISNUMBER(G257),ISNUMBER(H257)),H257-G257,"")</f>
        <v/>
      </c>
      <c r="J257" s="28" t="n"/>
      <c r="K257" s="29">
        <f>IF(AND(I257="",J257=""),"",ROUND(N(I257)*IF(C257="Business",N($H$5),IF(C257="Medical",N($H$6),IF(C257="Charity",N($H$7),0))),2)+IF(C257="Personal",0,N(J257)))</f>
        <v/>
      </c>
    </row>
    <row r="258" ht="19" customHeight="1">
      <c r="B258" s="23" t="n"/>
      <c r="C258" s="24" t="n"/>
      <c r="D258" s="25" t="n"/>
      <c r="E258" s="25" t="n"/>
      <c r="F258" s="25" t="n"/>
      <c r="G258" s="26" t="n"/>
      <c r="H258" s="26" t="n"/>
      <c r="I258" s="27">
        <f>IF(AND(ISNUMBER(G258),ISNUMBER(H258)),H258-G258,"")</f>
        <v/>
      </c>
      <c r="J258" s="28" t="n"/>
      <c r="K258" s="29">
        <f>IF(AND(I258="",J258=""),"",ROUND(N(I258)*IF(C258="Business",N($H$5),IF(C258="Medical",N($H$6),IF(C258="Charity",N($H$7),0))),2)+IF(C258="Personal",0,N(J258)))</f>
        <v/>
      </c>
    </row>
    <row r="259" ht="19" customHeight="1">
      <c r="B259" s="23" t="n"/>
      <c r="C259" s="24" t="n"/>
      <c r="D259" s="25" t="n"/>
      <c r="E259" s="25" t="n"/>
      <c r="F259" s="25" t="n"/>
      <c r="G259" s="26" t="n"/>
      <c r="H259" s="26" t="n"/>
      <c r="I259" s="27">
        <f>IF(AND(ISNUMBER(G259),ISNUMBER(H259)),H259-G259,"")</f>
        <v/>
      </c>
      <c r="J259" s="28" t="n"/>
      <c r="K259" s="29">
        <f>IF(AND(I259="",J259=""),"",ROUND(N(I259)*IF(C259="Business",N($H$5),IF(C259="Medical",N($H$6),IF(C259="Charity",N($H$7),0))),2)+IF(C259="Personal",0,N(J259)))</f>
        <v/>
      </c>
    </row>
    <row r="260" ht="19" customHeight="1">
      <c r="B260" s="23" t="n"/>
      <c r="C260" s="24" t="n"/>
      <c r="D260" s="25" t="n"/>
      <c r="E260" s="25" t="n"/>
      <c r="F260" s="25" t="n"/>
      <c r="G260" s="26" t="n"/>
      <c r="H260" s="26" t="n"/>
      <c r="I260" s="27">
        <f>IF(AND(ISNUMBER(G260),ISNUMBER(H260)),H260-G260,"")</f>
        <v/>
      </c>
      <c r="J260" s="28" t="n"/>
      <c r="K260" s="29">
        <f>IF(AND(I260="",J260=""),"",ROUND(N(I260)*IF(C260="Business",N($H$5),IF(C260="Medical",N($H$6),IF(C260="Charity",N($H$7),0))),2)+IF(C260="Personal",0,N(J260)))</f>
        <v/>
      </c>
    </row>
    <row r="261" ht="19" customHeight="1">
      <c r="B261" s="23" t="n"/>
      <c r="C261" s="24" t="n"/>
      <c r="D261" s="25" t="n"/>
      <c r="E261" s="25" t="n"/>
      <c r="F261" s="25" t="n"/>
      <c r="G261" s="26" t="n"/>
      <c r="H261" s="26" t="n"/>
      <c r="I261" s="27">
        <f>IF(AND(ISNUMBER(G261),ISNUMBER(H261)),H261-G261,"")</f>
        <v/>
      </c>
      <c r="J261" s="28" t="n"/>
      <c r="K261" s="29">
        <f>IF(AND(I261="",J261=""),"",ROUND(N(I261)*IF(C261="Business",N($H$5),IF(C261="Medical",N($H$6),IF(C261="Charity",N($H$7),0))),2)+IF(C261="Personal",0,N(J261)))</f>
        <v/>
      </c>
    </row>
    <row r="262" ht="19" customHeight="1">
      <c r="B262" s="23" t="n"/>
      <c r="C262" s="24" t="n"/>
      <c r="D262" s="25" t="n"/>
      <c r="E262" s="25" t="n"/>
      <c r="F262" s="25" t="n"/>
      <c r="G262" s="26" t="n"/>
      <c r="H262" s="26" t="n"/>
      <c r="I262" s="27">
        <f>IF(AND(ISNUMBER(G262),ISNUMBER(H262)),H262-G262,"")</f>
        <v/>
      </c>
      <c r="J262" s="28" t="n"/>
      <c r="K262" s="29">
        <f>IF(AND(I262="",J262=""),"",ROUND(N(I262)*IF(C262="Business",N($H$5),IF(C262="Medical",N($H$6),IF(C262="Charity",N($H$7),0))),2)+IF(C262="Personal",0,N(J262)))</f>
        <v/>
      </c>
    </row>
    <row r="263" ht="19" customHeight="1">
      <c r="B263" s="23" t="n"/>
      <c r="C263" s="24" t="n"/>
      <c r="D263" s="25" t="n"/>
      <c r="E263" s="25" t="n"/>
      <c r="F263" s="25" t="n"/>
      <c r="G263" s="26" t="n"/>
      <c r="H263" s="26" t="n"/>
      <c r="I263" s="27">
        <f>IF(AND(ISNUMBER(G263),ISNUMBER(H263)),H263-G263,"")</f>
        <v/>
      </c>
      <c r="J263" s="28" t="n"/>
      <c r="K263" s="29">
        <f>IF(AND(I263="",J263=""),"",ROUND(N(I263)*IF(C263="Business",N($H$5),IF(C263="Medical",N($H$6),IF(C263="Charity",N($H$7),0))),2)+IF(C263="Personal",0,N(J263)))</f>
        <v/>
      </c>
    </row>
    <row r="264" ht="19" customHeight="1">
      <c r="B264" s="23" t="n"/>
      <c r="C264" s="24" t="n"/>
      <c r="D264" s="25" t="n"/>
      <c r="E264" s="25" t="n"/>
      <c r="F264" s="25" t="n"/>
      <c r="G264" s="26" t="n"/>
      <c r="H264" s="26" t="n"/>
      <c r="I264" s="27">
        <f>IF(AND(ISNUMBER(G264),ISNUMBER(H264)),H264-G264,"")</f>
        <v/>
      </c>
      <c r="J264" s="28" t="n"/>
      <c r="K264" s="29">
        <f>IF(AND(I264="",J264=""),"",ROUND(N(I264)*IF(C264="Business",N($H$5),IF(C264="Medical",N($H$6),IF(C264="Charity",N($H$7),0))),2)+IF(C264="Personal",0,N(J264)))</f>
        <v/>
      </c>
    </row>
    <row r="265" ht="19" customHeight="1">
      <c r="B265" s="23" t="n"/>
      <c r="C265" s="24" t="n"/>
      <c r="D265" s="25" t="n"/>
      <c r="E265" s="25" t="n"/>
      <c r="F265" s="25" t="n"/>
      <c r="G265" s="26" t="n"/>
      <c r="H265" s="26" t="n"/>
      <c r="I265" s="27">
        <f>IF(AND(ISNUMBER(G265),ISNUMBER(H265)),H265-G265,"")</f>
        <v/>
      </c>
      <c r="J265" s="28" t="n"/>
      <c r="K265" s="29">
        <f>IF(AND(I265="",J265=""),"",ROUND(N(I265)*IF(C265="Business",N($H$5),IF(C265="Medical",N($H$6),IF(C265="Charity",N($H$7),0))),2)+IF(C265="Personal",0,N(J265)))</f>
        <v/>
      </c>
    </row>
    <row r="266" ht="19" customHeight="1">
      <c r="B266" s="23" t="n"/>
      <c r="C266" s="24" t="n"/>
      <c r="D266" s="25" t="n"/>
      <c r="E266" s="25" t="n"/>
      <c r="F266" s="25" t="n"/>
      <c r="G266" s="26" t="n"/>
      <c r="H266" s="26" t="n"/>
      <c r="I266" s="27">
        <f>IF(AND(ISNUMBER(G266),ISNUMBER(H266)),H266-G266,"")</f>
        <v/>
      </c>
      <c r="J266" s="28" t="n"/>
      <c r="K266" s="29">
        <f>IF(AND(I266="",J266=""),"",ROUND(N(I266)*IF(C266="Business",N($H$5),IF(C266="Medical",N($H$6),IF(C266="Charity",N($H$7),0))),2)+IF(C266="Personal",0,N(J266)))</f>
        <v/>
      </c>
    </row>
    <row r="267" ht="19" customHeight="1">
      <c r="B267" s="23" t="n"/>
      <c r="C267" s="24" t="n"/>
      <c r="D267" s="25" t="n"/>
      <c r="E267" s="25" t="n"/>
      <c r="F267" s="25" t="n"/>
      <c r="G267" s="26" t="n"/>
      <c r="H267" s="26" t="n"/>
      <c r="I267" s="27">
        <f>IF(AND(ISNUMBER(G267),ISNUMBER(H267)),H267-G267,"")</f>
        <v/>
      </c>
      <c r="J267" s="28" t="n"/>
      <c r="K267" s="29">
        <f>IF(AND(I267="",J267=""),"",ROUND(N(I267)*IF(C267="Business",N($H$5),IF(C267="Medical",N($H$6),IF(C267="Charity",N($H$7),0))),2)+IF(C267="Personal",0,N(J267)))</f>
        <v/>
      </c>
    </row>
    <row r="268" ht="19" customHeight="1">
      <c r="B268" s="23" t="n"/>
      <c r="C268" s="24" t="n"/>
      <c r="D268" s="25" t="n"/>
      <c r="E268" s="25" t="n"/>
      <c r="F268" s="25" t="n"/>
      <c r="G268" s="26" t="n"/>
      <c r="H268" s="26" t="n"/>
      <c r="I268" s="27">
        <f>IF(AND(ISNUMBER(G268),ISNUMBER(H268)),H268-G268,"")</f>
        <v/>
      </c>
      <c r="J268" s="28" t="n"/>
      <c r="K268" s="29">
        <f>IF(AND(I268="",J268=""),"",ROUND(N(I268)*IF(C268="Business",N($H$5),IF(C268="Medical",N($H$6),IF(C268="Charity",N($H$7),0))),2)+IF(C268="Personal",0,N(J268)))</f>
        <v/>
      </c>
    </row>
    <row r="269" ht="19" customHeight="1">
      <c r="B269" s="23" t="n"/>
      <c r="C269" s="24" t="n"/>
      <c r="D269" s="25" t="n"/>
      <c r="E269" s="25" t="n"/>
      <c r="F269" s="25" t="n"/>
      <c r="G269" s="26" t="n"/>
      <c r="H269" s="26" t="n"/>
      <c r="I269" s="27">
        <f>IF(AND(ISNUMBER(G269),ISNUMBER(H269)),H269-G269,"")</f>
        <v/>
      </c>
      <c r="J269" s="28" t="n"/>
      <c r="K269" s="29">
        <f>IF(AND(I269="",J269=""),"",ROUND(N(I269)*IF(C269="Business",N($H$5),IF(C269="Medical",N($H$6),IF(C269="Charity",N($H$7),0))),2)+IF(C269="Personal",0,N(J269)))</f>
        <v/>
      </c>
    </row>
    <row r="270" ht="19" customHeight="1">
      <c r="B270" s="23" t="n"/>
      <c r="C270" s="24" t="n"/>
      <c r="D270" s="25" t="n"/>
      <c r="E270" s="25" t="n"/>
      <c r="F270" s="25" t="n"/>
      <c r="G270" s="26" t="n"/>
      <c r="H270" s="26" t="n"/>
      <c r="I270" s="27">
        <f>IF(AND(ISNUMBER(G270),ISNUMBER(H270)),H270-G270,"")</f>
        <v/>
      </c>
      <c r="J270" s="28" t="n"/>
      <c r="K270" s="29">
        <f>IF(AND(I270="",J270=""),"",ROUND(N(I270)*IF(C270="Business",N($H$5),IF(C270="Medical",N($H$6),IF(C270="Charity",N($H$7),0))),2)+IF(C270="Personal",0,N(J270)))</f>
        <v/>
      </c>
    </row>
    <row r="271" ht="19" customHeight="1">
      <c r="B271" s="23" t="n"/>
      <c r="C271" s="24" t="n"/>
      <c r="D271" s="25" t="n"/>
      <c r="E271" s="25" t="n"/>
      <c r="F271" s="25" t="n"/>
      <c r="G271" s="26" t="n"/>
      <c r="H271" s="26" t="n"/>
      <c r="I271" s="27">
        <f>IF(AND(ISNUMBER(G271),ISNUMBER(H271)),H271-G271,"")</f>
        <v/>
      </c>
      <c r="J271" s="28" t="n"/>
      <c r="K271" s="29">
        <f>IF(AND(I271="",J271=""),"",ROUND(N(I271)*IF(C271="Business",N($H$5),IF(C271="Medical",N($H$6),IF(C271="Charity",N($H$7),0))),2)+IF(C271="Personal",0,N(J271)))</f>
        <v/>
      </c>
    </row>
    <row r="272" ht="19" customHeight="1">
      <c r="B272" s="23" t="n"/>
      <c r="C272" s="24" t="n"/>
      <c r="D272" s="25" t="n"/>
      <c r="E272" s="25" t="n"/>
      <c r="F272" s="25" t="n"/>
      <c r="G272" s="26" t="n"/>
      <c r="H272" s="26" t="n"/>
      <c r="I272" s="27">
        <f>IF(AND(ISNUMBER(G272),ISNUMBER(H272)),H272-G272,"")</f>
        <v/>
      </c>
      <c r="J272" s="28" t="n"/>
      <c r="K272" s="29">
        <f>IF(AND(I272="",J272=""),"",ROUND(N(I272)*IF(C272="Business",N($H$5),IF(C272="Medical",N($H$6),IF(C272="Charity",N($H$7),0))),2)+IF(C272="Personal",0,N(J272)))</f>
        <v/>
      </c>
    </row>
    <row r="273" ht="19" customHeight="1">
      <c r="B273" s="23" t="n"/>
      <c r="C273" s="24" t="n"/>
      <c r="D273" s="25" t="n"/>
      <c r="E273" s="25" t="n"/>
      <c r="F273" s="25" t="n"/>
      <c r="G273" s="26" t="n"/>
      <c r="H273" s="26" t="n"/>
      <c r="I273" s="27">
        <f>IF(AND(ISNUMBER(G273),ISNUMBER(H273)),H273-G273,"")</f>
        <v/>
      </c>
      <c r="J273" s="28" t="n"/>
      <c r="K273" s="29">
        <f>IF(AND(I273="",J273=""),"",ROUND(N(I273)*IF(C273="Business",N($H$5),IF(C273="Medical",N($H$6),IF(C273="Charity",N($H$7),0))),2)+IF(C273="Personal",0,N(J273)))</f>
        <v/>
      </c>
    </row>
    <row r="274" ht="19" customHeight="1">
      <c r="B274" s="23" t="n"/>
      <c r="C274" s="24" t="n"/>
      <c r="D274" s="25" t="n"/>
      <c r="E274" s="25" t="n"/>
      <c r="F274" s="25" t="n"/>
      <c r="G274" s="26" t="n"/>
      <c r="H274" s="26" t="n"/>
      <c r="I274" s="27">
        <f>IF(AND(ISNUMBER(G274),ISNUMBER(H274)),H274-G274,"")</f>
        <v/>
      </c>
      <c r="J274" s="28" t="n"/>
      <c r="K274" s="29">
        <f>IF(AND(I274="",J274=""),"",ROUND(N(I274)*IF(C274="Business",N($H$5),IF(C274="Medical",N($H$6),IF(C274="Charity",N($H$7),0))),2)+IF(C274="Personal",0,N(J274)))</f>
        <v/>
      </c>
    </row>
    <row r="275" ht="19" customHeight="1">
      <c r="B275" s="23" t="n"/>
      <c r="C275" s="24" t="n"/>
      <c r="D275" s="25" t="n"/>
      <c r="E275" s="25" t="n"/>
      <c r="F275" s="25" t="n"/>
      <c r="G275" s="26" t="n"/>
      <c r="H275" s="26" t="n"/>
      <c r="I275" s="27">
        <f>IF(AND(ISNUMBER(G275),ISNUMBER(H275)),H275-G275,"")</f>
        <v/>
      </c>
      <c r="J275" s="28" t="n"/>
      <c r="K275" s="29">
        <f>IF(AND(I275="",J275=""),"",ROUND(N(I275)*IF(C275="Business",N($H$5),IF(C275="Medical",N($H$6),IF(C275="Charity",N($H$7),0))),2)+IF(C275="Personal",0,N(J275)))</f>
        <v/>
      </c>
    </row>
    <row r="276" ht="19" customHeight="1">
      <c r="B276" s="23" t="n"/>
      <c r="C276" s="24" t="n"/>
      <c r="D276" s="25" t="n"/>
      <c r="E276" s="25" t="n"/>
      <c r="F276" s="25" t="n"/>
      <c r="G276" s="26" t="n"/>
      <c r="H276" s="26" t="n"/>
      <c r="I276" s="27">
        <f>IF(AND(ISNUMBER(G276),ISNUMBER(H276)),H276-G276,"")</f>
        <v/>
      </c>
      <c r="J276" s="28" t="n"/>
      <c r="K276" s="29">
        <f>IF(AND(I276="",J276=""),"",ROUND(N(I276)*IF(C276="Business",N($H$5),IF(C276="Medical",N($H$6),IF(C276="Charity",N($H$7),0))),2)+IF(C276="Personal",0,N(J276)))</f>
        <v/>
      </c>
    </row>
    <row r="277" ht="19" customHeight="1">
      <c r="B277" s="23" t="n"/>
      <c r="C277" s="24" t="n"/>
      <c r="D277" s="25" t="n"/>
      <c r="E277" s="25" t="n"/>
      <c r="F277" s="25" t="n"/>
      <c r="G277" s="26" t="n"/>
      <c r="H277" s="26" t="n"/>
      <c r="I277" s="27">
        <f>IF(AND(ISNUMBER(G277),ISNUMBER(H277)),H277-G277,"")</f>
        <v/>
      </c>
      <c r="J277" s="28" t="n"/>
      <c r="K277" s="29">
        <f>IF(AND(I277="",J277=""),"",ROUND(N(I277)*IF(C277="Business",N($H$5),IF(C277="Medical",N($H$6),IF(C277="Charity",N($H$7),0))),2)+IF(C277="Personal",0,N(J277)))</f>
        <v/>
      </c>
    </row>
    <row r="278" ht="19" customHeight="1">
      <c r="B278" s="23" t="n"/>
      <c r="C278" s="24" t="n"/>
      <c r="D278" s="25" t="n"/>
      <c r="E278" s="25" t="n"/>
      <c r="F278" s="25" t="n"/>
      <c r="G278" s="26" t="n"/>
      <c r="H278" s="26" t="n"/>
      <c r="I278" s="27">
        <f>IF(AND(ISNUMBER(G278),ISNUMBER(H278)),H278-G278,"")</f>
        <v/>
      </c>
      <c r="J278" s="28" t="n"/>
      <c r="K278" s="29">
        <f>IF(AND(I278="",J278=""),"",ROUND(N(I278)*IF(C278="Business",N($H$5),IF(C278="Medical",N($H$6),IF(C278="Charity",N($H$7),0))),2)+IF(C278="Personal",0,N(J278)))</f>
        <v/>
      </c>
    </row>
    <row r="279" ht="19" customHeight="1">
      <c r="B279" s="23" t="n"/>
      <c r="C279" s="24" t="n"/>
      <c r="D279" s="25" t="n"/>
      <c r="E279" s="25" t="n"/>
      <c r="F279" s="25" t="n"/>
      <c r="G279" s="26" t="n"/>
      <c r="H279" s="26" t="n"/>
      <c r="I279" s="27">
        <f>IF(AND(ISNUMBER(G279),ISNUMBER(H279)),H279-G279,"")</f>
        <v/>
      </c>
      <c r="J279" s="28" t="n"/>
      <c r="K279" s="29">
        <f>IF(AND(I279="",J279=""),"",ROUND(N(I279)*IF(C279="Business",N($H$5),IF(C279="Medical",N($H$6),IF(C279="Charity",N($H$7),0))),2)+IF(C279="Personal",0,N(J279)))</f>
        <v/>
      </c>
    </row>
    <row r="280" ht="19" customHeight="1">
      <c r="B280" s="23" t="n"/>
      <c r="C280" s="24" t="n"/>
      <c r="D280" s="25" t="n"/>
      <c r="E280" s="25" t="n"/>
      <c r="F280" s="25" t="n"/>
      <c r="G280" s="26" t="n"/>
      <c r="H280" s="26" t="n"/>
      <c r="I280" s="27">
        <f>IF(AND(ISNUMBER(G280),ISNUMBER(H280)),H280-G280,"")</f>
        <v/>
      </c>
      <c r="J280" s="28" t="n"/>
      <c r="K280" s="29">
        <f>IF(AND(I280="",J280=""),"",ROUND(N(I280)*IF(C280="Business",N($H$5),IF(C280="Medical",N($H$6),IF(C280="Charity",N($H$7),0))),2)+IF(C280="Personal",0,N(J280)))</f>
        <v/>
      </c>
    </row>
    <row r="281" ht="19" customHeight="1">
      <c r="B281" s="23" t="n"/>
      <c r="C281" s="24" t="n"/>
      <c r="D281" s="25" t="n"/>
      <c r="E281" s="25" t="n"/>
      <c r="F281" s="25" t="n"/>
      <c r="G281" s="26" t="n"/>
      <c r="H281" s="26" t="n"/>
      <c r="I281" s="27">
        <f>IF(AND(ISNUMBER(G281),ISNUMBER(H281)),H281-G281,"")</f>
        <v/>
      </c>
      <c r="J281" s="28" t="n"/>
      <c r="K281" s="29">
        <f>IF(AND(I281="",J281=""),"",ROUND(N(I281)*IF(C281="Business",N($H$5),IF(C281="Medical",N($H$6),IF(C281="Charity",N($H$7),0))),2)+IF(C281="Personal",0,N(J281)))</f>
        <v/>
      </c>
    </row>
    <row r="282" ht="19" customHeight="1">
      <c r="B282" s="23" t="n"/>
      <c r="C282" s="24" t="n"/>
      <c r="D282" s="25" t="n"/>
      <c r="E282" s="25" t="n"/>
      <c r="F282" s="25" t="n"/>
      <c r="G282" s="26" t="n"/>
      <c r="H282" s="26" t="n"/>
      <c r="I282" s="27">
        <f>IF(AND(ISNUMBER(G282),ISNUMBER(H282)),H282-G282,"")</f>
        <v/>
      </c>
      <c r="J282" s="28" t="n"/>
      <c r="K282" s="29">
        <f>IF(AND(I282="",J282=""),"",ROUND(N(I282)*IF(C282="Business",N($H$5),IF(C282="Medical",N($H$6),IF(C282="Charity",N($H$7),0))),2)+IF(C282="Personal",0,N(J282)))</f>
        <v/>
      </c>
    </row>
    <row r="283" ht="19" customHeight="1">
      <c r="B283" s="23" t="n"/>
      <c r="C283" s="24" t="n"/>
      <c r="D283" s="25" t="n"/>
      <c r="E283" s="25" t="n"/>
      <c r="F283" s="25" t="n"/>
      <c r="G283" s="26" t="n"/>
      <c r="H283" s="26" t="n"/>
      <c r="I283" s="27">
        <f>IF(AND(ISNUMBER(G283),ISNUMBER(H283)),H283-G283,"")</f>
        <v/>
      </c>
      <c r="J283" s="28" t="n"/>
      <c r="K283" s="29">
        <f>IF(AND(I283="",J283=""),"",ROUND(N(I283)*IF(C283="Business",N($H$5),IF(C283="Medical",N($H$6),IF(C283="Charity",N($H$7),0))),2)+IF(C283="Personal",0,N(J283)))</f>
        <v/>
      </c>
    </row>
    <row r="284" ht="19" customHeight="1">
      <c r="B284" s="23" t="n"/>
      <c r="C284" s="24" t="n"/>
      <c r="D284" s="25" t="n"/>
      <c r="E284" s="25" t="n"/>
      <c r="F284" s="25" t="n"/>
      <c r="G284" s="26" t="n"/>
      <c r="H284" s="26" t="n"/>
      <c r="I284" s="27">
        <f>IF(AND(ISNUMBER(G284),ISNUMBER(H284)),H284-G284,"")</f>
        <v/>
      </c>
      <c r="J284" s="28" t="n"/>
      <c r="K284" s="29">
        <f>IF(AND(I284="",J284=""),"",ROUND(N(I284)*IF(C284="Business",N($H$5),IF(C284="Medical",N($H$6),IF(C284="Charity",N($H$7),0))),2)+IF(C284="Personal",0,N(J284)))</f>
        <v/>
      </c>
    </row>
    <row r="285" ht="19" customHeight="1">
      <c r="B285" s="23" t="n"/>
      <c r="C285" s="24" t="n"/>
      <c r="D285" s="25" t="n"/>
      <c r="E285" s="25" t="n"/>
      <c r="F285" s="25" t="n"/>
      <c r="G285" s="26" t="n"/>
      <c r="H285" s="26" t="n"/>
      <c r="I285" s="27">
        <f>IF(AND(ISNUMBER(G285),ISNUMBER(H285)),H285-G285,"")</f>
        <v/>
      </c>
      <c r="J285" s="28" t="n"/>
      <c r="K285" s="29">
        <f>IF(AND(I285="",J285=""),"",ROUND(N(I285)*IF(C285="Business",N($H$5),IF(C285="Medical",N($H$6),IF(C285="Charity",N($H$7),0))),2)+IF(C285="Personal",0,N(J285)))</f>
        <v/>
      </c>
    </row>
    <row r="286" ht="19" customHeight="1">
      <c r="B286" s="23" t="n"/>
      <c r="C286" s="24" t="n"/>
      <c r="D286" s="25" t="n"/>
      <c r="E286" s="25" t="n"/>
      <c r="F286" s="25" t="n"/>
      <c r="G286" s="26" t="n"/>
      <c r="H286" s="26" t="n"/>
      <c r="I286" s="27">
        <f>IF(AND(ISNUMBER(G286),ISNUMBER(H286)),H286-G286,"")</f>
        <v/>
      </c>
      <c r="J286" s="28" t="n"/>
      <c r="K286" s="29">
        <f>IF(AND(I286="",J286=""),"",ROUND(N(I286)*IF(C286="Business",N($H$5),IF(C286="Medical",N($H$6),IF(C286="Charity",N($H$7),0))),2)+IF(C286="Personal",0,N(J286)))</f>
        <v/>
      </c>
    </row>
    <row r="287" ht="19" customHeight="1">
      <c r="B287" s="23" t="n"/>
      <c r="C287" s="24" t="n"/>
      <c r="D287" s="25" t="n"/>
      <c r="E287" s="25" t="n"/>
      <c r="F287" s="25" t="n"/>
      <c r="G287" s="26" t="n"/>
      <c r="H287" s="26" t="n"/>
      <c r="I287" s="27">
        <f>IF(AND(ISNUMBER(G287),ISNUMBER(H287)),H287-G287,"")</f>
        <v/>
      </c>
      <c r="J287" s="28" t="n"/>
      <c r="K287" s="29">
        <f>IF(AND(I287="",J287=""),"",ROUND(N(I287)*IF(C287="Business",N($H$5),IF(C287="Medical",N($H$6),IF(C287="Charity",N($H$7),0))),2)+IF(C287="Personal",0,N(J287)))</f>
        <v/>
      </c>
    </row>
    <row r="288" ht="19" customHeight="1">
      <c r="B288" s="23" t="n"/>
      <c r="C288" s="24" t="n"/>
      <c r="D288" s="25" t="n"/>
      <c r="E288" s="25" t="n"/>
      <c r="F288" s="25" t="n"/>
      <c r="G288" s="26" t="n"/>
      <c r="H288" s="26" t="n"/>
      <c r="I288" s="27">
        <f>IF(AND(ISNUMBER(G288),ISNUMBER(H288)),H288-G288,"")</f>
        <v/>
      </c>
      <c r="J288" s="28" t="n"/>
      <c r="K288" s="29">
        <f>IF(AND(I288="",J288=""),"",ROUND(N(I288)*IF(C288="Business",N($H$5),IF(C288="Medical",N($H$6),IF(C288="Charity",N($H$7),0))),2)+IF(C288="Personal",0,N(J288)))</f>
        <v/>
      </c>
    </row>
    <row r="289" ht="19" customHeight="1">
      <c r="B289" s="23" t="n"/>
      <c r="C289" s="24" t="n"/>
      <c r="D289" s="25" t="n"/>
      <c r="E289" s="25" t="n"/>
      <c r="F289" s="25" t="n"/>
      <c r="G289" s="26" t="n"/>
      <c r="H289" s="26" t="n"/>
      <c r="I289" s="27">
        <f>IF(AND(ISNUMBER(G289),ISNUMBER(H289)),H289-G289,"")</f>
        <v/>
      </c>
      <c r="J289" s="28" t="n"/>
      <c r="K289" s="29">
        <f>IF(AND(I289="",J289=""),"",ROUND(N(I289)*IF(C289="Business",N($H$5),IF(C289="Medical",N($H$6),IF(C289="Charity",N($H$7),0))),2)+IF(C289="Personal",0,N(J289)))</f>
        <v/>
      </c>
    </row>
    <row r="290" ht="19" customHeight="1">
      <c r="B290" s="23" t="n"/>
      <c r="C290" s="24" t="n"/>
      <c r="D290" s="25" t="n"/>
      <c r="E290" s="25" t="n"/>
      <c r="F290" s="25" t="n"/>
      <c r="G290" s="26" t="n"/>
      <c r="H290" s="26" t="n"/>
      <c r="I290" s="27">
        <f>IF(AND(ISNUMBER(G290),ISNUMBER(H290)),H290-G290,"")</f>
        <v/>
      </c>
      <c r="J290" s="28" t="n"/>
      <c r="K290" s="29">
        <f>IF(AND(I290="",J290=""),"",ROUND(N(I290)*IF(C290="Business",N($H$5),IF(C290="Medical",N($H$6),IF(C290="Charity",N($H$7),0))),2)+IF(C290="Personal",0,N(J290)))</f>
        <v/>
      </c>
    </row>
    <row r="291" ht="19" customHeight="1">
      <c r="B291" s="23" t="n"/>
      <c r="C291" s="24" t="n"/>
      <c r="D291" s="25" t="n"/>
      <c r="E291" s="25" t="n"/>
      <c r="F291" s="25" t="n"/>
      <c r="G291" s="26" t="n"/>
      <c r="H291" s="26" t="n"/>
      <c r="I291" s="27">
        <f>IF(AND(ISNUMBER(G291),ISNUMBER(H291)),H291-G291,"")</f>
        <v/>
      </c>
      <c r="J291" s="28" t="n"/>
      <c r="K291" s="29">
        <f>IF(AND(I291="",J291=""),"",ROUND(N(I291)*IF(C291="Business",N($H$5),IF(C291="Medical",N($H$6),IF(C291="Charity",N($H$7),0))),2)+IF(C291="Personal",0,N(J291)))</f>
        <v/>
      </c>
    </row>
    <row r="292" ht="19" customHeight="1">
      <c r="B292" s="23" t="n"/>
      <c r="C292" s="24" t="n"/>
      <c r="D292" s="25" t="n"/>
      <c r="E292" s="25" t="n"/>
      <c r="F292" s="25" t="n"/>
      <c r="G292" s="26" t="n"/>
      <c r="H292" s="26" t="n"/>
      <c r="I292" s="27">
        <f>IF(AND(ISNUMBER(G292),ISNUMBER(H292)),H292-G292,"")</f>
        <v/>
      </c>
      <c r="J292" s="28" t="n"/>
      <c r="K292" s="29">
        <f>IF(AND(I292="",J292=""),"",ROUND(N(I292)*IF(C292="Business",N($H$5),IF(C292="Medical",N($H$6),IF(C292="Charity",N($H$7),0))),2)+IF(C292="Personal",0,N(J292)))</f>
        <v/>
      </c>
    </row>
    <row r="293" ht="19" customHeight="1">
      <c r="B293" s="23" t="n"/>
      <c r="C293" s="24" t="n"/>
      <c r="D293" s="25" t="n"/>
      <c r="E293" s="25" t="n"/>
      <c r="F293" s="25" t="n"/>
      <c r="G293" s="26" t="n"/>
      <c r="H293" s="26" t="n"/>
      <c r="I293" s="27">
        <f>IF(AND(ISNUMBER(G293),ISNUMBER(H293)),H293-G293,"")</f>
        <v/>
      </c>
      <c r="J293" s="28" t="n"/>
      <c r="K293" s="29">
        <f>IF(AND(I293="",J293=""),"",ROUND(N(I293)*IF(C293="Business",N($H$5),IF(C293="Medical",N($H$6),IF(C293="Charity",N($H$7),0))),2)+IF(C293="Personal",0,N(J293)))</f>
        <v/>
      </c>
    </row>
    <row r="294" ht="19" customHeight="1">
      <c r="B294" s="23" t="n"/>
      <c r="C294" s="24" t="n"/>
      <c r="D294" s="25" t="n"/>
      <c r="E294" s="25" t="n"/>
      <c r="F294" s="25" t="n"/>
      <c r="G294" s="26" t="n"/>
      <c r="H294" s="26" t="n"/>
      <c r="I294" s="27">
        <f>IF(AND(ISNUMBER(G294),ISNUMBER(H294)),H294-G294,"")</f>
        <v/>
      </c>
      <c r="J294" s="28" t="n"/>
      <c r="K294" s="29">
        <f>IF(AND(I294="",J294=""),"",ROUND(N(I294)*IF(C294="Business",N($H$5),IF(C294="Medical",N($H$6),IF(C294="Charity",N($H$7),0))),2)+IF(C294="Personal",0,N(J294)))</f>
        <v/>
      </c>
    </row>
    <row r="295" ht="19" customHeight="1">
      <c r="B295" s="23" t="n"/>
      <c r="C295" s="24" t="n"/>
      <c r="D295" s="25" t="n"/>
      <c r="E295" s="25" t="n"/>
      <c r="F295" s="25" t="n"/>
      <c r="G295" s="26" t="n"/>
      <c r="H295" s="26" t="n"/>
      <c r="I295" s="27">
        <f>IF(AND(ISNUMBER(G295),ISNUMBER(H295)),H295-G295,"")</f>
        <v/>
      </c>
      <c r="J295" s="28" t="n"/>
      <c r="K295" s="29">
        <f>IF(AND(I295="",J295=""),"",ROUND(N(I295)*IF(C295="Business",N($H$5),IF(C295="Medical",N($H$6),IF(C295="Charity",N($H$7),0))),2)+IF(C295="Personal",0,N(J295)))</f>
        <v/>
      </c>
    </row>
    <row r="296" ht="19" customHeight="1">
      <c r="B296" s="23" t="n"/>
      <c r="C296" s="24" t="n"/>
      <c r="D296" s="25" t="n"/>
      <c r="E296" s="25" t="n"/>
      <c r="F296" s="25" t="n"/>
      <c r="G296" s="26" t="n"/>
      <c r="H296" s="26" t="n"/>
      <c r="I296" s="27">
        <f>IF(AND(ISNUMBER(G296),ISNUMBER(H296)),H296-G296,"")</f>
        <v/>
      </c>
      <c r="J296" s="28" t="n"/>
      <c r="K296" s="29">
        <f>IF(AND(I296="",J296=""),"",ROUND(N(I296)*IF(C296="Business",N($H$5),IF(C296="Medical",N($H$6),IF(C296="Charity",N($H$7),0))),2)+IF(C296="Personal",0,N(J296)))</f>
        <v/>
      </c>
    </row>
    <row r="297" ht="19" customHeight="1">
      <c r="B297" s="23" t="n"/>
      <c r="C297" s="24" t="n"/>
      <c r="D297" s="25" t="n"/>
      <c r="E297" s="25" t="n"/>
      <c r="F297" s="25" t="n"/>
      <c r="G297" s="26" t="n"/>
      <c r="H297" s="26" t="n"/>
      <c r="I297" s="27">
        <f>IF(AND(ISNUMBER(G297),ISNUMBER(H297)),H297-G297,"")</f>
        <v/>
      </c>
      <c r="J297" s="28" t="n"/>
      <c r="K297" s="29">
        <f>IF(AND(I297="",J297=""),"",ROUND(N(I297)*IF(C297="Business",N($H$5),IF(C297="Medical",N($H$6),IF(C297="Charity",N($H$7),0))),2)+IF(C297="Personal",0,N(J297)))</f>
        <v/>
      </c>
    </row>
    <row r="298" ht="19" customHeight="1">
      <c r="B298" s="23" t="n"/>
      <c r="C298" s="24" t="n"/>
      <c r="D298" s="25" t="n"/>
      <c r="E298" s="25" t="n"/>
      <c r="F298" s="25" t="n"/>
      <c r="G298" s="26" t="n"/>
      <c r="H298" s="26" t="n"/>
      <c r="I298" s="27">
        <f>IF(AND(ISNUMBER(G298),ISNUMBER(H298)),H298-G298,"")</f>
        <v/>
      </c>
      <c r="J298" s="28" t="n"/>
      <c r="K298" s="29">
        <f>IF(AND(I298="",J298=""),"",ROUND(N(I298)*IF(C298="Business",N($H$5),IF(C298="Medical",N($H$6),IF(C298="Charity",N($H$7),0))),2)+IF(C298="Personal",0,N(J298)))</f>
        <v/>
      </c>
    </row>
    <row r="299" ht="19" customHeight="1">
      <c r="B299" s="23" t="n"/>
      <c r="C299" s="24" t="n"/>
      <c r="D299" s="25" t="n"/>
      <c r="E299" s="25" t="n"/>
      <c r="F299" s="25" t="n"/>
      <c r="G299" s="26" t="n"/>
      <c r="H299" s="26" t="n"/>
      <c r="I299" s="27">
        <f>IF(AND(ISNUMBER(G299),ISNUMBER(H299)),H299-G299,"")</f>
        <v/>
      </c>
      <c r="J299" s="28" t="n"/>
      <c r="K299" s="29">
        <f>IF(AND(I299="",J299=""),"",ROUND(N(I299)*IF(C299="Business",N($H$5),IF(C299="Medical",N($H$6),IF(C299="Charity",N($H$7),0))),2)+IF(C299="Personal",0,N(J299)))</f>
        <v/>
      </c>
    </row>
    <row r="300" ht="19" customHeight="1">
      <c r="B300" s="23" t="n"/>
      <c r="C300" s="24" t="n"/>
      <c r="D300" s="25" t="n"/>
      <c r="E300" s="25" t="n"/>
      <c r="F300" s="25" t="n"/>
      <c r="G300" s="26" t="n"/>
      <c r="H300" s="26" t="n"/>
      <c r="I300" s="27">
        <f>IF(AND(ISNUMBER(G300),ISNUMBER(H300)),H300-G300,"")</f>
        <v/>
      </c>
      <c r="J300" s="28" t="n"/>
      <c r="K300" s="29">
        <f>IF(AND(I300="",J300=""),"",ROUND(N(I300)*IF(C300="Business",N($H$5),IF(C300="Medical",N($H$6),IF(C300="Charity",N($H$7),0))),2)+IF(C300="Personal",0,N(J300)))</f>
        <v/>
      </c>
    </row>
    <row r="301" ht="19" customHeight="1">
      <c r="B301" s="23" t="n"/>
      <c r="C301" s="24" t="n"/>
      <c r="D301" s="25" t="n"/>
      <c r="E301" s="25" t="n"/>
      <c r="F301" s="25" t="n"/>
      <c r="G301" s="26" t="n"/>
      <c r="H301" s="26" t="n"/>
      <c r="I301" s="27">
        <f>IF(AND(ISNUMBER(G301),ISNUMBER(H301)),H301-G301,"")</f>
        <v/>
      </c>
      <c r="J301" s="28" t="n"/>
      <c r="K301" s="29">
        <f>IF(AND(I301="",J301=""),"",ROUND(N(I301)*IF(C301="Business",N($H$5),IF(C301="Medical",N($H$6),IF(C301="Charity",N($H$7),0))),2)+IF(C301="Personal",0,N(J301)))</f>
        <v/>
      </c>
    </row>
    <row r="302" ht="19" customHeight="1">
      <c r="B302" s="23" t="n"/>
      <c r="C302" s="24" t="n"/>
      <c r="D302" s="25" t="n"/>
      <c r="E302" s="25" t="n"/>
      <c r="F302" s="25" t="n"/>
      <c r="G302" s="26" t="n"/>
      <c r="H302" s="26" t="n"/>
      <c r="I302" s="27">
        <f>IF(AND(ISNUMBER(G302),ISNUMBER(H302)),H302-G302,"")</f>
        <v/>
      </c>
      <c r="J302" s="28" t="n"/>
      <c r="K302" s="29">
        <f>IF(AND(I302="",J302=""),"",ROUND(N(I302)*IF(C302="Business",N($H$5),IF(C302="Medical",N($H$6),IF(C302="Charity",N($H$7),0))),2)+IF(C302="Personal",0,N(J302)))</f>
        <v/>
      </c>
    </row>
    <row r="303" ht="19" customHeight="1">
      <c r="B303" s="23" t="n"/>
      <c r="C303" s="24" t="n"/>
      <c r="D303" s="25" t="n"/>
      <c r="E303" s="25" t="n"/>
      <c r="F303" s="25" t="n"/>
      <c r="G303" s="26" t="n"/>
      <c r="H303" s="26" t="n"/>
      <c r="I303" s="27">
        <f>IF(AND(ISNUMBER(G303),ISNUMBER(H303)),H303-G303,"")</f>
        <v/>
      </c>
      <c r="J303" s="28" t="n"/>
      <c r="K303" s="29">
        <f>IF(AND(I303="",J303=""),"",ROUND(N(I303)*IF(C303="Business",N($H$5),IF(C303="Medical",N($H$6),IF(C303="Charity",N($H$7),0))),2)+IF(C303="Personal",0,N(J303)))</f>
        <v/>
      </c>
    </row>
    <row r="304" ht="19" customHeight="1">
      <c r="B304" s="23" t="n"/>
      <c r="C304" s="24" t="n"/>
      <c r="D304" s="25" t="n"/>
      <c r="E304" s="25" t="n"/>
      <c r="F304" s="25" t="n"/>
      <c r="G304" s="26" t="n"/>
      <c r="H304" s="26" t="n"/>
      <c r="I304" s="27">
        <f>IF(AND(ISNUMBER(G304),ISNUMBER(H304)),H304-G304,"")</f>
        <v/>
      </c>
      <c r="J304" s="28" t="n"/>
      <c r="K304" s="29">
        <f>IF(AND(I304="",J304=""),"",ROUND(N(I304)*IF(C304="Business",N($H$5),IF(C304="Medical",N($H$6),IF(C304="Charity",N($H$7),0))),2)+IF(C304="Personal",0,N(J304)))</f>
        <v/>
      </c>
    </row>
    <row r="305" ht="19" customHeight="1">
      <c r="B305" s="23" t="n"/>
      <c r="C305" s="24" t="n"/>
      <c r="D305" s="25" t="n"/>
      <c r="E305" s="25" t="n"/>
      <c r="F305" s="25" t="n"/>
      <c r="G305" s="26" t="n"/>
      <c r="H305" s="26" t="n"/>
      <c r="I305" s="27">
        <f>IF(AND(ISNUMBER(G305),ISNUMBER(H305)),H305-G305,"")</f>
        <v/>
      </c>
      <c r="J305" s="28" t="n"/>
      <c r="K305" s="29">
        <f>IF(AND(I305="",J305=""),"",ROUND(N(I305)*IF(C305="Business",N($H$5),IF(C305="Medical",N($H$6),IF(C305="Charity",N($H$7),0))),2)+IF(C305="Personal",0,N(J305)))</f>
        <v/>
      </c>
    </row>
    <row r="306" ht="19" customHeight="1">
      <c r="B306" s="23" t="n"/>
      <c r="C306" s="24" t="n"/>
      <c r="D306" s="25" t="n"/>
      <c r="E306" s="25" t="n"/>
      <c r="F306" s="25" t="n"/>
      <c r="G306" s="26" t="n"/>
      <c r="H306" s="26" t="n"/>
      <c r="I306" s="27">
        <f>IF(AND(ISNUMBER(G306),ISNUMBER(H306)),H306-G306,"")</f>
        <v/>
      </c>
      <c r="J306" s="28" t="n"/>
      <c r="K306" s="29">
        <f>IF(AND(I306="",J306=""),"",ROUND(N(I306)*IF(C306="Business",N($H$5),IF(C306="Medical",N($H$6),IF(C306="Charity",N($H$7),0))),2)+IF(C306="Personal",0,N(J306)))</f>
        <v/>
      </c>
    </row>
    <row r="307" ht="19" customHeight="1">
      <c r="B307" s="23" t="n"/>
      <c r="C307" s="24" t="n"/>
      <c r="D307" s="25" t="n"/>
      <c r="E307" s="25" t="n"/>
      <c r="F307" s="25" t="n"/>
      <c r="G307" s="26" t="n"/>
      <c r="H307" s="26" t="n"/>
      <c r="I307" s="27">
        <f>IF(AND(ISNUMBER(G307),ISNUMBER(H307)),H307-G307,"")</f>
        <v/>
      </c>
      <c r="J307" s="28" t="n"/>
      <c r="K307" s="29">
        <f>IF(AND(I307="",J307=""),"",ROUND(N(I307)*IF(C307="Business",N($H$5),IF(C307="Medical",N($H$6),IF(C307="Charity",N($H$7),0))),2)+IF(C307="Personal",0,N(J307)))</f>
        <v/>
      </c>
    </row>
    <row r="308" ht="19" customHeight="1">
      <c r="B308" s="23" t="n"/>
      <c r="C308" s="24" t="n"/>
      <c r="D308" s="25" t="n"/>
      <c r="E308" s="25" t="n"/>
      <c r="F308" s="25" t="n"/>
      <c r="G308" s="26" t="n"/>
      <c r="H308" s="26" t="n"/>
      <c r="I308" s="27">
        <f>IF(AND(ISNUMBER(G308),ISNUMBER(H308)),H308-G308,"")</f>
        <v/>
      </c>
      <c r="J308" s="28" t="n"/>
      <c r="K308" s="29">
        <f>IF(AND(I308="",J308=""),"",ROUND(N(I308)*IF(C308="Business",N($H$5),IF(C308="Medical",N($H$6),IF(C308="Charity",N($H$7),0))),2)+IF(C308="Personal",0,N(J308)))</f>
        <v/>
      </c>
    </row>
    <row r="309" ht="19" customHeight="1">
      <c r="B309" s="23" t="n"/>
      <c r="C309" s="24" t="n"/>
      <c r="D309" s="25" t="n"/>
      <c r="E309" s="25" t="n"/>
      <c r="F309" s="25" t="n"/>
      <c r="G309" s="26" t="n"/>
      <c r="H309" s="26" t="n"/>
      <c r="I309" s="27">
        <f>IF(AND(ISNUMBER(G309),ISNUMBER(H309)),H309-G309,"")</f>
        <v/>
      </c>
      <c r="J309" s="28" t="n"/>
      <c r="K309" s="29">
        <f>IF(AND(I309="",J309=""),"",ROUND(N(I309)*IF(C309="Business",N($H$5),IF(C309="Medical",N($H$6),IF(C309="Charity",N($H$7),0))),2)+IF(C309="Personal",0,N(J309)))</f>
        <v/>
      </c>
    </row>
    <row r="310" ht="19" customHeight="1">
      <c r="B310" s="23" t="n"/>
      <c r="C310" s="24" t="n"/>
      <c r="D310" s="25" t="n"/>
      <c r="E310" s="25" t="n"/>
      <c r="F310" s="25" t="n"/>
      <c r="G310" s="26" t="n"/>
      <c r="H310" s="26" t="n"/>
      <c r="I310" s="27">
        <f>IF(AND(ISNUMBER(G310),ISNUMBER(H310)),H310-G310,"")</f>
        <v/>
      </c>
      <c r="J310" s="28" t="n"/>
      <c r="K310" s="29">
        <f>IF(AND(I310="",J310=""),"",ROUND(N(I310)*IF(C310="Business",N($H$5),IF(C310="Medical",N($H$6),IF(C310="Charity",N($H$7),0))),2)+IF(C310="Personal",0,N(J310)))</f>
        <v/>
      </c>
    </row>
    <row r="311" ht="19" customHeight="1">
      <c r="B311" s="23" t="n"/>
      <c r="C311" s="24" t="n"/>
      <c r="D311" s="25" t="n"/>
      <c r="E311" s="25" t="n"/>
      <c r="F311" s="25" t="n"/>
      <c r="G311" s="26" t="n"/>
      <c r="H311" s="26" t="n"/>
      <c r="I311" s="27">
        <f>IF(AND(ISNUMBER(G311),ISNUMBER(H311)),H311-G311,"")</f>
        <v/>
      </c>
      <c r="J311" s="28" t="n"/>
      <c r="K311" s="29">
        <f>IF(AND(I311="",J311=""),"",ROUND(N(I311)*IF(C311="Business",N($H$5),IF(C311="Medical",N($H$6),IF(C311="Charity",N($H$7),0))),2)+IF(C311="Personal",0,N(J311)))</f>
        <v/>
      </c>
    </row>
    <row r="312" ht="19" customHeight="1">
      <c r="B312" s="23" t="n"/>
      <c r="C312" s="24" t="n"/>
      <c r="D312" s="25" t="n"/>
      <c r="E312" s="25" t="n"/>
      <c r="F312" s="25" t="n"/>
      <c r="G312" s="26" t="n"/>
      <c r="H312" s="26" t="n"/>
      <c r="I312" s="27">
        <f>IF(AND(ISNUMBER(G312),ISNUMBER(H312)),H312-G312,"")</f>
        <v/>
      </c>
      <c r="J312" s="28" t="n"/>
      <c r="K312" s="29">
        <f>IF(AND(I312="",J312=""),"",ROUND(N(I312)*IF(C312="Business",N($H$5),IF(C312="Medical",N($H$6),IF(C312="Charity",N($H$7),0))),2)+IF(C312="Personal",0,N(J312)))</f>
        <v/>
      </c>
    </row>
    <row r="313" ht="19" customHeight="1">
      <c r="B313" s="23" t="n"/>
      <c r="C313" s="24" t="n"/>
      <c r="D313" s="25" t="n"/>
      <c r="E313" s="25" t="n"/>
      <c r="F313" s="25" t="n"/>
      <c r="G313" s="26" t="n"/>
      <c r="H313" s="26" t="n"/>
      <c r="I313" s="27">
        <f>IF(AND(ISNUMBER(G313),ISNUMBER(H313)),H313-G313,"")</f>
        <v/>
      </c>
      <c r="J313" s="28" t="n"/>
      <c r="K313" s="29">
        <f>IF(AND(I313="",J313=""),"",ROUND(N(I313)*IF(C313="Business",N($H$5),IF(C313="Medical",N($H$6),IF(C313="Charity",N($H$7),0))),2)+IF(C313="Personal",0,N(J313)))</f>
        <v/>
      </c>
    </row>
    <row r="314" ht="19" customHeight="1">
      <c r="B314" s="23" t="n"/>
      <c r="C314" s="24" t="n"/>
      <c r="D314" s="25" t="n"/>
      <c r="E314" s="25" t="n"/>
      <c r="F314" s="25" t="n"/>
      <c r="G314" s="26" t="n"/>
      <c r="H314" s="26" t="n"/>
      <c r="I314" s="27">
        <f>IF(AND(ISNUMBER(G314),ISNUMBER(H314)),H314-G314,"")</f>
        <v/>
      </c>
      <c r="J314" s="28" t="n"/>
      <c r="K314" s="29">
        <f>IF(AND(I314="",J314=""),"",ROUND(N(I314)*IF(C314="Business",N($H$5),IF(C314="Medical",N($H$6),IF(C314="Charity",N($H$7),0))),2)+IF(C314="Personal",0,N(J314)))</f>
        <v/>
      </c>
    </row>
    <row r="315" ht="19" customHeight="1">
      <c r="B315" s="23" t="n"/>
      <c r="C315" s="24" t="n"/>
      <c r="D315" s="25" t="n"/>
      <c r="E315" s="25" t="n"/>
      <c r="F315" s="25" t="n"/>
      <c r="G315" s="26" t="n"/>
      <c r="H315" s="26" t="n"/>
      <c r="I315" s="27">
        <f>IF(AND(ISNUMBER(G315),ISNUMBER(H315)),H315-G315,"")</f>
        <v/>
      </c>
      <c r="J315" s="28" t="n"/>
      <c r="K315" s="29">
        <f>IF(AND(I315="",J315=""),"",ROUND(N(I315)*IF(C315="Business",N($H$5),IF(C315="Medical",N($H$6),IF(C315="Charity",N($H$7),0))),2)+IF(C315="Personal",0,N(J315)))</f>
        <v/>
      </c>
    </row>
    <row r="317">
      <c r="B317" s="30" t="inlineStr">
        <is>
          <t>Free template from niftyshelf.com  ·  free for personal &amp; commercial use</t>
        </is>
      </c>
    </row>
  </sheetData>
  <autoFilter ref="B15:K315"/>
  <mergeCells count="18">
    <mergeCell ref="F11:G11"/>
    <mergeCell ref="H10:K10"/>
    <mergeCell ref="C7:D7"/>
    <mergeCell ref="B11:C11"/>
    <mergeCell ref="F10:G10"/>
    <mergeCell ref="F5:G5"/>
    <mergeCell ref="C5:D5"/>
    <mergeCell ref="F7:G7"/>
    <mergeCell ref="B10:C10"/>
    <mergeCell ref="H11:K11"/>
    <mergeCell ref="D11"/>
    <mergeCell ref="F6:G6"/>
    <mergeCell ref="D10"/>
    <mergeCell ref="F8:K8"/>
    <mergeCell ref="E11"/>
    <mergeCell ref="E10"/>
    <mergeCell ref="C8:D8"/>
    <mergeCell ref="C6:E6"/>
  </mergeCells>
  <conditionalFormatting sqref="C16:C315">
    <cfRule type="expression" priority="1" dxfId="0" stopIfTrue="0">
      <formula>C16="Personal"</formula>
    </cfRule>
  </conditionalFormatting>
  <conditionalFormatting sqref="B16:K315">
    <cfRule type="expression" priority="2" dxfId="1" stopIfTrue="0">
      <formula>AND($B16&lt;&gt;"",YEAR($B16)&lt;&gt;2027)</formula>
    </cfRule>
  </conditionalFormatting>
  <dataValidations count="1">
    <dataValidation sqref="C16:C315" showDropDown="0" showInputMessage="0" showErrorMessage="1" allowBlank="1" error="Pick a value from the list (or keep your own)." type="list" errorStyle="warning">
      <formula1>"Business,Medical,Charity,Personal"</formula1>
    </dataValidation>
  </dataValidations>
  <printOptions horizontalCentered="1"/>
  <pageMargins left="0.4" right="0.4" top="0.45" bottom="0.45" header="0.2" footer="0.2"/>
  <pageSetup orientation="landscape" paperSize="1" fitToHeight="0" fitToWidth="1"/>
  <headerFooter>
    <oddHeader/>
    <oddFooter>&amp;C&amp;K9CA3AF&amp;8&amp;"Arial"Page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  <col width="2.5" customWidth="1" min="9" max="9"/>
  </cols>
  <sheetData>
    <row r="2" ht="32" customHeight="1">
      <c r="B2" s="31" t="inlineStr">
        <is>
          <t>2027 mileage by month</t>
        </is>
      </c>
    </row>
    <row r="3">
      <c r="B3" s="2" t="inlineStr">
        <is>
          <t>Totals pull from the Mileage Log tab automatically.</t>
        </is>
      </c>
    </row>
    <row r="5" ht="22" customHeight="1">
      <c r="B5" s="21" t="inlineStr">
        <is>
          <t>MONTH</t>
        </is>
      </c>
      <c r="C5" s="22" t="inlineStr">
        <is>
          <t>BUSINESS MI</t>
        </is>
      </c>
      <c r="D5" s="22" t="inlineStr">
        <is>
          <t>MEDICAL MI</t>
        </is>
      </c>
      <c r="E5" s="22" t="inlineStr">
        <is>
          <t>CHARITY MI</t>
        </is>
      </c>
      <c r="F5" s="22" t="inlineStr">
        <is>
          <t>PERSONAL MI</t>
        </is>
      </c>
      <c r="G5" s="22" t="inlineStr">
        <is>
          <t>PARKING &amp; TOLLS</t>
        </is>
      </c>
      <c r="H5" s="22" t="inlineStr">
        <is>
          <t>DEDUCTION</t>
        </is>
      </c>
    </row>
    <row r="6" ht="20" customHeight="1">
      <c r="B6" s="32" t="inlineStr">
        <is>
          <t>Jan 2027</t>
        </is>
      </c>
      <c r="C6" s="33">
        <f>SUMIFS('Mileage Log'!$I$16:$I$315,'Mileage Log'!$C$16:$C$315,"Business",'Mileage Log'!$B$16:$B$315,"&gt;="&amp;DATE(2027,1,1),'Mileage Log'!$B$16:$B$315,"&lt;"&amp;DATE(2027,2,1))</f>
        <v/>
      </c>
      <c r="D6" s="33">
        <f>SUMIFS('Mileage Log'!$I$16:$I$315,'Mileage Log'!$C$16:$C$315,"Medical",'Mileage Log'!$B$16:$B$315,"&gt;="&amp;DATE(2027,1,1),'Mileage Log'!$B$16:$B$315,"&lt;"&amp;DATE(2027,2,1))</f>
        <v/>
      </c>
      <c r="E6" s="33">
        <f>SUMIFS('Mileage Log'!$I$16:$I$315,'Mileage Log'!$C$16:$C$315,"Charity",'Mileage Log'!$B$16:$B$315,"&gt;="&amp;DATE(2027,1,1),'Mileage Log'!$B$16:$B$315,"&lt;"&amp;DATE(2027,2,1))</f>
        <v/>
      </c>
      <c r="F6" s="33">
        <f>SUMIFS('Mileage Log'!$I$16:$I$315,'Mileage Log'!$C$16:$C$315,"Personal",'Mileage Log'!$B$16:$B$315,"&gt;="&amp;DATE(2027,1,1),'Mileage Log'!$B$16:$B$315,"&lt;"&amp;DATE(2027,2,1))</f>
        <v/>
      </c>
      <c r="G6" s="34">
        <f>SUMIFS('Mileage Log'!$J$16:$J$315,'Mileage Log'!$C$16:$C$315,"&lt;&gt;Personal",'Mileage Log'!$B$16:$B$315,"&gt;="&amp;DATE(2027,1,1),'Mileage Log'!$B$16:$B$315,"&lt;"&amp;DATE(2027,2,1))</f>
        <v/>
      </c>
      <c r="H6" s="35">
        <f>SUMIFS('Mileage Log'!$K$16:$K$315,'Mileage Log'!$B$16:$B$315,"&gt;="&amp;DATE(2027,1,1),'Mileage Log'!$B$16:$B$315,"&lt;"&amp;DATE(2027,2,1))</f>
        <v/>
      </c>
    </row>
    <row r="7" ht="20" customHeight="1">
      <c r="B7" s="32" t="inlineStr">
        <is>
          <t>Feb 2027</t>
        </is>
      </c>
      <c r="C7" s="33">
        <f>SUMIFS('Mileage Log'!$I$16:$I$315,'Mileage Log'!$C$16:$C$315,"Business",'Mileage Log'!$B$16:$B$315,"&gt;="&amp;DATE(2027,2,1),'Mileage Log'!$B$16:$B$315,"&lt;"&amp;DATE(2027,3,1))</f>
        <v/>
      </c>
      <c r="D7" s="33">
        <f>SUMIFS('Mileage Log'!$I$16:$I$315,'Mileage Log'!$C$16:$C$315,"Medical",'Mileage Log'!$B$16:$B$315,"&gt;="&amp;DATE(2027,2,1),'Mileage Log'!$B$16:$B$315,"&lt;"&amp;DATE(2027,3,1))</f>
        <v/>
      </c>
      <c r="E7" s="33">
        <f>SUMIFS('Mileage Log'!$I$16:$I$315,'Mileage Log'!$C$16:$C$315,"Charity",'Mileage Log'!$B$16:$B$315,"&gt;="&amp;DATE(2027,2,1),'Mileage Log'!$B$16:$B$315,"&lt;"&amp;DATE(2027,3,1))</f>
        <v/>
      </c>
      <c r="F7" s="33">
        <f>SUMIFS('Mileage Log'!$I$16:$I$315,'Mileage Log'!$C$16:$C$315,"Personal",'Mileage Log'!$B$16:$B$315,"&gt;="&amp;DATE(2027,2,1),'Mileage Log'!$B$16:$B$315,"&lt;"&amp;DATE(2027,3,1))</f>
        <v/>
      </c>
      <c r="G7" s="34">
        <f>SUMIFS('Mileage Log'!$J$16:$J$315,'Mileage Log'!$C$16:$C$315,"&lt;&gt;Personal",'Mileage Log'!$B$16:$B$315,"&gt;="&amp;DATE(2027,2,1),'Mileage Log'!$B$16:$B$315,"&lt;"&amp;DATE(2027,3,1))</f>
        <v/>
      </c>
      <c r="H7" s="35">
        <f>SUMIFS('Mileage Log'!$K$16:$K$315,'Mileage Log'!$B$16:$B$315,"&gt;="&amp;DATE(2027,2,1),'Mileage Log'!$B$16:$B$315,"&lt;"&amp;DATE(2027,3,1))</f>
        <v/>
      </c>
    </row>
    <row r="8" ht="20" customHeight="1">
      <c r="B8" s="32" t="inlineStr">
        <is>
          <t>Mar 2027</t>
        </is>
      </c>
      <c r="C8" s="33">
        <f>SUMIFS('Mileage Log'!$I$16:$I$315,'Mileage Log'!$C$16:$C$315,"Business",'Mileage Log'!$B$16:$B$315,"&gt;="&amp;DATE(2027,3,1),'Mileage Log'!$B$16:$B$315,"&lt;"&amp;DATE(2027,4,1))</f>
        <v/>
      </c>
      <c r="D8" s="33">
        <f>SUMIFS('Mileage Log'!$I$16:$I$315,'Mileage Log'!$C$16:$C$315,"Medical",'Mileage Log'!$B$16:$B$315,"&gt;="&amp;DATE(2027,3,1),'Mileage Log'!$B$16:$B$315,"&lt;"&amp;DATE(2027,4,1))</f>
        <v/>
      </c>
      <c r="E8" s="33">
        <f>SUMIFS('Mileage Log'!$I$16:$I$315,'Mileage Log'!$C$16:$C$315,"Charity",'Mileage Log'!$B$16:$B$315,"&gt;="&amp;DATE(2027,3,1),'Mileage Log'!$B$16:$B$315,"&lt;"&amp;DATE(2027,4,1))</f>
        <v/>
      </c>
      <c r="F8" s="33">
        <f>SUMIFS('Mileage Log'!$I$16:$I$315,'Mileage Log'!$C$16:$C$315,"Personal",'Mileage Log'!$B$16:$B$315,"&gt;="&amp;DATE(2027,3,1),'Mileage Log'!$B$16:$B$315,"&lt;"&amp;DATE(2027,4,1))</f>
        <v/>
      </c>
      <c r="G8" s="34">
        <f>SUMIFS('Mileage Log'!$J$16:$J$315,'Mileage Log'!$C$16:$C$315,"&lt;&gt;Personal",'Mileage Log'!$B$16:$B$315,"&gt;="&amp;DATE(2027,3,1),'Mileage Log'!$B$16:$B$315,"&lt;"&amp;DATE(2027,4,1))</f>
        <v/>
      </c>
      <c r="H8" s="35">
        <f>SUMIFS('Mileage Log'!$K$16:$K$315,'Mileage Log'!$B$16:$B$315,"&gt;="&amp;DATE(2027,3,1),'Mileage Log'!$B$16:$B$315,"&lt;"&amp;DATE(2027,4,1))</f>
        <v/>
      </c>
    </row>
    <row r="9" ht="20" customHeight="1">
      <c r="B9" s="32" t="inlineStr">
        <is>
          <t>Apr 2027</t>
        </is>
      </c>
      <c r="C9" s="33">
        <f>SUMIFS('Mileage Log'!$I$16:$I$315,'Mileage Log'!$C$16:$C$315,"Business",'Mileage Log'!$B$16:$B$315,"&gt;="&amp;DATE(2027,4,1),'Mileage Log'!$B$16:$B$315,"&lt;"&amp;DATE(2027,5,1))</f>
        <v/>
      </c>
      <c r="D9" s="33">
        <f>SUMIFS('Mileage Log'!$I$16:$I$315,'Mileage Log'!$C$16:$C$315,"Medical",'Mileage Log'!$B$16:$B$315,"&gt;="&amp;DATE(2027,4,1),'Mileage Log'!$B$16:$B$315,"&lt;"&amp;DATE(2027,5,1))</f>
        <v/>
      </c>
      <c r="E9" s="33">
        <f>SUMIFS('Mileage Log'!$I$16:$I$315,'Mileage Log'!$C$16:$C$315,"Charity",'Mileage Log'!$B$16:$B$315,"&gt;="&amp;DATE(2027,4,1),'Mileage Log'!$B$16:$B$315,"&lt;"&amp;DATE(2027,5,1))</f>
        <v/>
      </c>
      <c r="F9" s="33">
        <f>SUMIFS('Mileage Log'!$I$16:$I$315,'Mileage Log'!$C$16:$C$315,"Personal",'Mileage Log'!$B$16:$B$315,"&gt;="&amp;DATE(2027,4,1),'Mileage Log'!$B$16:$B$315,"&lt;"&amp;DATE(2027,5,1))</f>
        <v/>
      </c>
      <c r="G9" s="34">
        <f>SUMIFS('Mileage Log'!$J$16:$J$315,'Mileage Log'!$C$16:$C$315,"&lt;&gt;Personal",'Mileage Log'!$B$16:$B$315,"&gt;="&amp;DATE(2027,4,1),'Mileage Log'!$B$16:$B$315,"&lt;"&amp;DATE(2027,5,1))</f>
        <v/>
      </c>
      <c r="H9" s="35">
        <f>SUMIFS('Mileage Log'!$K$16:$K$315,'Mileage Log'!$B$16:$B$315,"&gt;="&amp;DATE(2027,4,1),'Mileage Log'!$B$16:$B$315,"&lt;"&amp;DATE(2027,5,1))</f>
        <v/>
      </c>
    </row>
    <row r="10" ht="20" customHeight="1">
      <c r="B10" s="32" t="inlineStr">
        <is>
          <t>May 2027</t>
        </is>
      </c>
      <c r="C10" s="33">
        <f>SUMIFS('Mileage Log'!$I$16:$I$315,'Mileage Log'!$C$16:$C$315,"Business",'Mileage Log'!$B$16:$B$315,"&gt;="&amp;DATE(2027,5,1),'Mileage Log'!$B$16:$B$315,"&lt;"&amp;DATE(2027,6,1))</f>
        <v/>
      </c>
      <c r="D10" s="33">
        <f>SUMIFS('Mileage Log'!$I$16:$I$315,'Mileage Log'!$C$16:$C$315,"Medical",'Mileage Log'!$B$16:$B$315,"&gt;="&amp;DATE(2027,5,1),'Mileage Log'!$B$16:$B$315,"&lt;"&amp;DATE(2027,6,1))</f>
        <v/>
      </c>
      <c r="E10" s="33">
        <f>SUMIFS('Mileage Log'!$I$16:$I$315,'Mileage Log'!$C$16:$C$315,"Charity",'Mileage Log'!$B$16:$B$315,"&gt;="&amp;DATE(2027,5,1),'Mileage Log'!$B$16:$B$315,"&lt;"&amp;DATE(2027,6,1))</f>
        <v/>
      </c>
      <c r="F10" s="33">
        <f>SUMIFS('Mileage Log'!$I$16:$I$315,'Mileage Log'!$C$16:$C$315,"Personal",'Mileage Log'!$B$16:$B$315,"&gt;="&amp;DATE(2027,5,1),'Mileage Log'!$B$16:$B$315,"&lt;"&amp;DATE(2027,6,1))</f>
        <v/>
      </c>
      <c r="G10" s="34">
        <f>SUMIFS('Mileage Log'!$J$16:$J$315,'Mileage Log'!$C$16:$C$315,"&lt;&gt;Personal",'Mileage Log'!$B$16:$B$315,"&gt;="&amp;DATE(2027,5,1),'Mileage Log'!$B$16:$B$315,"&lt;"&amp;DATE(2027,6,1))</f>
        <v/>
      </c>
      <c r="H10" s="35">
        <f>SUMIFS('Mileage Log'!$K$16:$K$315,'Mileage Log'!$B$16:$B$315,"&gt;="&amp;DATE(2027,5,1),'Mileage Log'!$B$16:$B$315,"&lt;"&amp;DATE(2027,6,1))</f>
        <v/>
      </c>
    </row>
    <row r="11" ht="20" customHeight="1">
      <c r="B11" s="32" t="inlineStr">
        <is>
          <t>Jun 2027</t>
        </is>
      </c>
      <c r="C11" s="33">
        <f>SUMIFS('Mileage Log'!$I$16:$I$315,'Mileage Log'!$C$16:$C$315,"Business",'Mileage Log'!$B$16:$B$315,"&gt;="&amp;DATE(2027,6,1),'Mileage Log'!$B$16:$B$315,"&lt;"&amp;DATE(2027,7,1))</f>
        <v/>
      </c>
      <c r="D11" s="33">
        <f>SUMIFS('Mileage Log'!$I$16:$I$315,'Mileage Log'!$C$16:$C$315,"Medical",'Mileage Log'!$B$16:$B$315,"&gt;="&amp;DATE(2027,6,1),'Mileage Log'!$B$16:$B$315,"&lt;"&amp;DATE(2027,7,1))</f>
        <v/>
      </c>
      <c r="E11" s="33">
        <f>SUMIFS('Mileage Log'!$I$16:$I$315,'Mileage Log'!$C$16:$C$315,"Charity",'Mileage Log'!$B$16:$B$315,"&gt;="&amp;DATE(2027,6,1),'Mileage Log'!$B$16:$B$315,"&lt;"&amp;DATE(2027,7,1))</f>
        <v/>
      </c>
      <c r="F11" s="33">
        <f>SUMIFS('Mileage Log'!$I$16:$I$315,'Mileage Log'!$C$16:$C$315,"Personal",'Mileage Log'!$B$16:$B$315,"&gt;="&amp;DATE(2027,6,1),'Mileage Log'!$B$16:$B$315,"&lt;"&amp;DATE(2027,7,1))</f>
        <v/>
      </c>
      <c r="G11" s="34">
        <f>SUMIFS('Mileage Log'!$J$16:$J$315,'Mileage Log'!$C$16:$C$315,"&lt;&gt;Personal",'Mileage Log'!$B$16:$B$315,"&gt;="&amp;DATE(2027,6,1),'Mileage Log'!$B$16:$B$315,"&lt;"&amp;DATE(2027,7,1))</f>
        <v/>
      </c>
      <c r="H11" s="35">
        <f>SUMIFS('Mileage Log'!$K$16:$K$315,'Mileage Log'!$B$16:$B$315,"&gt;="&amp;DATE(2027,6,1),'Mileage Log'!$B$16:$B$315,"&lt;"&amp;DATE(2027,7,1))</f>
        <v/>
      </c>
    </row>
    <row r="12" ht="20" customHeight="1">
      <c r="B12" s="32" t="inlineStr">
        <is>
          <t>Jul 2027</t>
        </is>
      </c>
      <c r="C12" s="33">
        <f>SUMIFS('Mileage Log'!$I$16:$I$315,'Mileage Log'!$C$16:$C$315,"Business",'Mileage Log'!$B$16:$B$315,"&gt;="&amp;DATE(2027,7,1),'Mileage Log'!$B$16:$B$315,"&lt;"&amp;DATE(2027,8,1))</f>
        <v/>
      </c>
      <c r="D12" s="33">
        <f>SUMIFS('Mileage Log'!$I$16:$I$315,'Mileage Log'!$C$16:$C$315,"Medical",'Mileage Log'!$B$16:$B$315,"&gt;="&amp;DATE(2027,7,1),'Mileage Log'!$B$16:$B$315,"&lt;"&amp;DATE(2027,8,1))</f>
        <v/>
      </c>
      <c r="E12" s="33">
        <f>SUMIFS('Mileage Log'!$I$16:$I$315,'Mileage Log'!$C$16:$C$315,"Charity",'Mileage Log'!$B$16:$B$315,"&gt;="&amp;DATE(2027,7,1),'Mileage Log'!$B$16:$B$315,"&lt;"&amp;DATE(2027,8,1))</f>
        <v/>
      </c>
      <c r="F12" s="33">
        <f>SUMIFS('Mileage Log'!$I$16:$I$315,'Mileage Log'!$C$16:$C$315,"Personal",'Mileage Log'!$B$16:$B$315,"&gt;="&amp;DATE(2027,7,1),'Mileage Log'!$B$16:$B$315,"&lt;"&amp;DATE(2027,8,1))</f>
        <v/>
      </c>
      <c r="G12" s="34">
        <f>SUMIFS('Mileage Log'!$J$16:$J$315,'Mileage Log'!$C$16:$C$315,"&lt;&gt;Personal",'Mileage Log'!$B$16:$B$315,"&gt;="&amp;DATE(2027,7,1),'Mileage Log'!$B$16:$B$315,"&lt;"&amp;DATE(2027,8,1))</f>
        <v/>
      </c>
      <c r="H12" s="35">
        <f>SUMIFS('Mileage Log'!$K$16:$K$315,'Mileage Log'!$B$16:$B$315,"&gt;="&amp;DATE(2027,7,1),'Mileage Log'!$B$16:$B$315,"&lt;"&amp;DATE(2027,8,1))</f>
        <v/>
      </c>
    </row>
    <row r="13" ht="20" customHeight="1">
      <c r="B13" s="32" t="inlineStr">
        <is>
          <t>Aug 2027</t>
        </is>
      </c>
      <c r="C13" s="33">
        <f>SUMIFS('Mileage Log'!$I$16:$I$315,'Mileage Log'!$C$16:$C$315,"Business",'Mileage Log'!$B$16:$B$315,"&gt;="&amp;DATE(2027,8,1),'Mileage Log'!$B$16:$B$315,"&lt;"&amp;DATE(2027,9,1))</f>
        <v/>
      </c>
      <c r="D13" s="33">
        <f>SUMIFS('Mileage Log'!$I$16:$I$315,'Mileage Log'!$C$16:$C$315,"Medical",'Mileage Log'!$B$16:$B$315,"&gt;="&amp;DATE(2027,8,1),'Mileage Log'!$B$16:$B$315,"&lt;"&amp;DATE(2027,9,1))</f>
        <v/>
      </c>
      <c r="E13" s="33">
        <f>SUMIFS('Mileage Log'!$I$16:$I$315,'Mileage Log'!$C$16:$C$315,"Charity",'Mileage Log'!$B$16:$B$315,"&gt;="&amp;DATE(2027,8,1),'Mileage Log'!$B$16:$B$315,"&lt;"&amp;DATE(2027,9,1))</f>
        <v/>
      </c>
      <c r="F13" s="33">
        <f>SUMIFS('Mileage Log'!$I$16:$I$315,'Mileage Log'!$C$16:$C$315,"Personal",'Mileage Log'!$B$16:$B$315,"&gt;="&amp;DATE(2027,8,1),'Mileage Log'!$B$16:$B$315,"&lt;"&amp;DATE(2027,9,1))</f>
        <v/>
      </c>
      <c r="G13" s="34">
        <f>SUMIFS('Mileage Log'!$J$16:$J$315,'Mileage Log'!$C$16:$C$315,"&lt;&gt;Personal",'Mileage Log'!$B$16:$B$315,"&gt;="&amp;DATE(2027,8,1),'Mileage Log'!$B$16:$B$315,"&lt;"&amp;DATE(2027,9,1))</f>
        <v/>
      </c>
      <c r="H13" s="35">
        <f>SUMIFS('Mileage Log'!$K$16:$K$315,'Mileage Log'!$B$16:$B$315,"&gt;="&amp;DATE(2027,8,1),'Mileage Log'!$B$16:$B$315,"&lt;"&amp;DATE(2027,9,1))</f>
        <v/>
      </c>
    </row>
    <row r="14" ht="20" customHeight="1">
      <c r="B14" s="32" t="inlineStr">
        <is>
          <t>Sep 2027</t>
        </is>
      </c>
      <c r="C14" s="33">
        <f>SUMIFS('Mileage Log'!$I$16:$I$315,'Mileage Log'!$C$16:$C$315,"Business",'Mileage Log'!$B$16:$B$315,"&gt;="&amp;DATE(2027,9,1),'Mileage Log'!$B$16:$B$315,"&lt;"&amp;DATE(2027,10,1))</f>
        <v/>
      </c>
      <c r="D14" s="33">
        <f>SUMIFS('Mileage Log'!$I$16:$I$315,'Mileage Log'!$C$16:$C$315,"Medical",'Mileage Log'!$B$16:$B$315,"&gt;="&amp;DATE(2027,9,1),'Mileage Log'!$B$16:$B$315,"&lt;"&amp;DATE(2027,10,1))</f>
        <v/>
      </c>
      <c r="E14" s="33">
        <f>SUMIFS('Mileage Log'!$I$16:$I$315,'Mileage Log'!$C$16:$C$315,"Charity",'Mileage Log'!$B$16:$B$315,"&gt;="&amp;DATE(2027,9,1),'Mileage Log'!$B$16:$B$315,"&lt;"&amp;DATE(2027,10,1))</f>
        <v/>
      </c>
      <c r="F14" s="33">
        <f>SUMIFS('Mileage Log'!$I$16:$I$315,'Mileage Log'!$C$16:$C$315,"Personal",'Mileage Log'!$B$16:$B$315,"&gt;="&amp;DATE(2027,9,1),'Mileage Log'!$B$16:$B$315,"&lt;"&amp;DATE(2027,10,1))</f>
        <v/>
      </c>
      <c r="G14" s="34">
        <f>SUMIFS('Mileage Log'!$J$16:$J$315,'Mileage Log'!$C$16:$C$315,"&lt;&gt;Personal",'Mileage Log'!$B$16:$B$315,"&gt;="&amp;DATE(2027,9,1),'Mileage Log'!$B$16:$B$315,"&lt;"&amp;DATE(2027,10,1))</f>
        <v/>
      </c>
      <c r="H14" s="35">
        <f>SUMIFS('Mileage Log'!$K$16:$K$315,'Mileage Log'!$B$16:$B$315,"&gt;="&amp;DATE(2027,9,1),'Mileage Log'!$B$16:$B$315,"&lt;"&amp;DATE(2027,10,1))</f>
        <v/>
      </c>
    </row>
    <row r="15" ht="20" customHeight="1">
      <c r="B15" s="32" t="inlineStr">
        <is>
          <t>Oct 2027</t>
        </is>
      </c>
      <c r="C15" s="33">
        <f>SUMIFS('Mileage Log'!$I$16:$I$315,'Mileage Log'!$C$16:$C$315,"Business",'Mileage Log'!$B$16:$B$315,"&gt;="&amp;DATE(2027,10,1),'Mileage Log'!$B$16:$B$315,"&lt;"&amp;DATE(2027,11,1))</f>
        <v/>
      </c>
      <c r="D15" s="33">
        <f>SUMIFS('Mileage Log'!$I$16:$I$315,'Mileage Log'!$C$16:$C$315,"Medical",'Mileage Log'!$B$16:$B$315,"&gt;="&amp;DATE(2027,10,1),'Mileage Log'!$B$16:$B$315,"&lt;"&amp;DATE(2027,11,1))</f>
        <v/>
      </c>
      <c r="E15" s="33">
        <f>SUMIFS('Mileage Log'!$I$16:$I$315,'Mileage Log'!$C$16:$C$315,"Charity",'Mileage Log'!$B$16:$B$315,"&gt;="&amp;DATE(2027,10,1),'Mileage Log'!$B$16:$B$315,"&lt;"&amp;DATE(2027,11,1))</f>
        <v/>
      </c>
      <c r="F15" s="33">
        <f>SUMIFS('Mileage Log'!$I$16:$I$315,'Mileage Log'!$C$16:$C$315,"Personal",'Mileage Log'!$B$16:$B$315,"&gt;="&amp;DATE(2027,10,1),'Mileage Log'!$B$16:$B$315,"&lt;"&amp;DATE(2027,11,1))</f>
        <v/>
      </c>
      <c r="G15" s="34">
        <f>SUMIFS('Mileage Log'!$J$16:$J$315,'Mileage Log'!$C$16:$C$315,"&lt;&gt;Personal",'Mileage Log'!$B$16:$B$315,"&gt;="&amp;DATE(2027,10,1),'Mileage Log'!$B$16:$B$315,"&lt;"&amp;DATE(2027,11,1))</f>
        <v/>
      </c>
      <c r="H15" s="35">
        <f>SUMIFS('Mileage Log'!$K$16:$K$315,'Mileage Log'!$B$16:$B$315,"&gt;="&amp;DATE(2027,10,1),'Mileage Log'!$B$16:$B$315,"&lt;"&amp;DATE(2027,11,1))</f>
        <v/>
      </c>
    </row>
    <row r="16" ht="20" customHeight="1">
      <c r="B16" s="32" t="inlineStr">
        <is>
          <t>Nov 2027</t>
        </is>
      </c>
      <c r="C16" s="33">
        <f>SUMIFS('Mileage Log'!$I$16:$I$315,'Mileage Log'!$C$16:$C$315,"Business",'Mileage Log'!$B$16:$B$315,"&gt;="&amp;DATE(2027,11,1),'Mileage Log'!$B$16:$B$315,"&lt;"&amp;DATE(2027,12,1))</f>
        <v/>
      </c>
      <c r="D16" s="33">
        <f>SUMIFS('Mileage Log'!$I$16:$I$315,'Mileage Log'!$C$16:$C$315,"Medical",'Mileage Log'!$B$16:$B$315,"&gt;="&amp;DATE(2027,11,1),'Mileage Log'!$B$16:$B$315,"&lt;"&amp;DATE(2027,12,1))</f>
        <v/>
      </c>
      <c r="E16" s="33">
        <f>SUMIFS('Mileage Log'!$I$16:$I$315,'Mileage Log'!$C$16:$C$315,"Charity",'Mileage Log'!$B$16:$B$315,"&gt;="&amp;DATE(2027,11,1),'Mileage Log'!$B$16:$B$315,"&lt;"&amp;DATE(2027,12,1))</f>
        <v/>
      </c>
      <c r="F16" s="33">
        <f>SUMIFS('Mileage Log'!$I$16:$I$315,'Mileage Log'!$C$16:$C$315,"Personal",'Mileage Log'!$B$16:$B$315,"&gt;="&amp;DATE(2027,11,1),'Mileage Log'!$B$16:$B$315,"&lt;"&amp;DATE(2027,12,1))</f>
        <v/>
      </c>
      <c r="G16" s="34">
        <f>SUMIFS('Mileage Log'!$J$16:$J$315,'Mileage Log'!$C$16:$C$315,"&lt;&gt;Personal",'Mileage Log'!$B$16:$B$315,"&gt;="&amp;DATE(2027,11,1),'Mileage Log'!$B$16:$B$315,"&lt;"&amp;DATE(2027,12,1))</f>
        <v/>
      </c>
      <c r="H16" s="35">
        <f>SUMIFS('Mileage Log'!$K$16:$K$315,'Mileage Log'!$B$16:$B$315,"&gt;="&amp;DATE(2027,11,1),'Mileage Log'!$B$16:$B$315,"&lt;"&amp;DATE(2027,12,1))</f>
        <v/>
      </c>
    </row>
    <row r="17" ht="20" customHeight="1">
      <c r="B17" s="32" t="inlineStr">
        <is>
          <t>Dec 2027</t>
        </is>
      </c>
      <c r="C17" s="33">
        <f>SUMIFS('Mileage Log'!$I$16:$I$315,'Mileage Log'!$C$16:$C$315,"Business",'Mileage Log'!$B$16:$B$315,"&gt;="&amp;DATE(2027,12,1),'Mileage Log'!$B$16:$B$315,"&lt;"&amp;DATE(2027,13,1))</f>
        <v/>
      </c>
      <c r="D17" s="33">
        <f>SUMIFS('Mileage Log'!$I$16:$I$315,'Mileage Log'!$C$16:$C$315,"Medical",'Mileage Log'!$B$16:$B$315,"&gt;="&amp;DATE(2027,12,1),'Mileage Log'!$B$16:$B$315,"&lt;"&amp;DATE(2027,13,1))</f>
        <v/>
      </c>
      <c r="E17" s="33">
        <f>SUMIFS('Mileage Log'!$I$16:$I$315,'Mileage Log'!$C$16:$C$315,"Charity",'Mileage Log'!$B$16:$B$315,"&gt;="&amp;DATE(2027,12,1),'Mileage Log'!$B$16:$B$315,"&lt;"&amp;DATE(2027,13,1))</f>
        <v/>
      </c>
      <c r="F17" s="33">
        <f>SUMIFS('Mileage Log'!$I$16:$I$315,'Mileage Log'!$C$16:$C$315,"Personal",'Mileage Log'!$B$16:$B$315,"&gt;="&amp;DATE(2027,12,1),'Mileage Log'!$B$16:$B$315,"&lt;"&amp;DATE(2027,13,1))</f>
        <v/>
      </c>
      <c r="G17" s="34">
        <f>SUMIFS('Mileage Log'!$J$16:$J$315,'Mileage Log'!$C$16:$C$315,"&lt;&gt;Personal",'Mileage Log'!$B$16:$B$315,"&gt;="&amp;DATE(2027,12,1),'Mileage Log'!$B$16:$B$315,"&lt;"&amp;DATE(2027,13,1))</f>
        <v/>
      </c>
      <c r="H17" s="35">
        <f>SUMIFS('Mileage Log'!$K$16:$K$315,'Mileage Log'!$B$16:$B$315,"&gt;="&amp;DATE(2027,12,1),'Mileage Log'!$B$16:$B$315,"&lt;"&amp;DATE(2027,13,1))</f>
        <v/>
      </c>
    </row>
    <row r="18" ht="24" customHeight="1">
      <c r="B18" s="36" t="inlineStr">
        <is>
          <t>Total</t>
        </is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  <c r="G18" s="38">
        <f>SUM(G6:G17)</f>
        <v/>
      </c>
      <c r="H18" s="38">
        <f>SUM(H6:H17)</f>
        <v/>
      </c>
    </row>
    <row r="20">
      <c r="B20" s="20" t="inlineStr">
        <is>
          <t>Keep this log with your tax records. Deductibility rules and rates are set by the IRS each year — confirm with irs.gov or a tax professional.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9" t="inlineStr">
        <is>
          <t>How to use this 2027 mileage log</t>
        </is>
      </c>
    </row>
    <row r="3">
      <c r="B3" s="2" t="inlineStr">
        <is>
          <t>Quick guide</t>
        </is>
      </c>
    </row>
    <row r="5" ht="30" customHeight="1">
      <c r="B5" s="40" t="n">
        <v>1</v>
      </c>
      <c r="C5" s="41" t="inlineStr">
        <is>
          <t>Enter your vehicle and the odometer reading on January 1 (and December 31 at year end to get your business-use %).</t>
        </is>
      </c>
    </row>
    <row r="6" ht="30" customHeight="1">
      <c r="B6" s="40" t="n">
        <v>2</v>
      </c>
      <c r="C6" s="41" t="inlineStr">
        <is>
          <t>Type the official 2027 standard mileage rates into the tinted rate cells — the IRS publishes them each year at irs.gov. They're left blank on purpose so you never use an out-of-date number.</t>
        </is>
      </c>
    </row>
    <row r="7" ht="30" customHeight="1">
      <c r="B7" s="40" t="n">
        <v>3</v>
      </c>
      <c r="C7" s="41" t="inlineStr">
        <is>
          <t>For each trip enter the date, type (Business / Medical / Charity / Personal), where you went, the business purpose and the odometer start and end. Miles calculate automatically.</t>
        </is>
      </c>
    </row>
    <row r="8" ht="18" customHeight="1">
      <c r="B8" s="40" t="n">
        <v>4</v>
      </c>
      <c r="C8" s="41" t="inlineStr">
        <is>
          <t>No odometer readings? Type the trip distance directly in the Miles cell.</t>
        </is>
      </c>
    </row>
    <row r="9" ht="30" customHeight="1">
      <c r="B9" s="40" t="n">
        <v>5</v>
      </c>
      <c r="C9" s="41" t="inlineStr">
        <is>
          <t>Parking and tolls for business trips are added to the deduction. The Monthly Summary tab totals everything by month.</t>
        </is>
      </c>
    </row>
    <row r="11">
      <c r="C11" s="42" t="inlineStr">
        <is>
          <t>Tinted cells are inputs — type over them. White cells calculate automatically.</t>
        </is>
      </c>
    </row>
    <row r="13" ht="16" customHeight="1">
      <c r="C13" s="43" t="inlineStr">
        <is>
          <t>This log is a record-keeping aid, not tax advice.</t>
        </is>
      </c>
    </row>
    <row r="15">
      <c r="C15" s="2" t="inlineStr">
        <is>
          <t>Works in Excel, Google Sheets (File → Import), Numbers and LibreOffice.</t>
        </is>
      </c>
    </row>
    <row r="16">
      <c r="C16" s="44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2026-10-21T22:58:34Z</dcterms:created>
  <dcterms:modified xmlns:dcterms="http://purl.org/dc/terms/" xmlns:xsi="http://www.w3.org/2001/XMLSchema-instance" xsi:type="dcterms:W3CDTF">2026-10-21T22:58:35Z</dcterms:modified>
</cp:coreProperties>
</file>